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drawings/drawing2.xml" ContentType="application/vnd.openxmlformats-officedocument.drawing+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drawings/drawing3.xml" ContentType="application/vnd.openxmlformats-officedocument.drawing+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drawings/drawing4.xml" ContentType="application/vnd.openxmlformats-officedocument.drawing+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drawings/drawing5.xml" ContentType="application/vnd.openxmlformats-officedocument.drawing+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drawings/drawing6.xml" ContentType="application/vnd.openxmlformats-officedocument.drawing+xml"/>
  <Override PartName="/xl/ctrlProps/ctrlProp314.xml" ContentType="application/vnd.ms-excel.controlproperties+xml"/>
  <Override PartName="/xl/drawings/drawing7.xml" ContentType="application/vnd.openxmlformats-officedocument.drawing+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2"/>
  <workbookPr defaultThemeVersion="166925"/>
  <mc:AlternateContent xmlns:mc="http://schemas.openxmlformats.org/markup-compatibility/2006">
    <mc:Choice Requires="x15">
      <x15ac:absPath xmlns:x15ac="http://schemas.microsoft.com/office/spreadsheetml/2010/11/ac" url="G:\Shared drives\LBIS-IR\Common Data Set\2022-23\"/>
    </mc:Choice>
  </mc:AlternateContent>
  <xr:revisionPtr revIDLastSave="0" documentId="13_ncr:1_{3589336E-C9FD-44AB-9C8D-0D81C6738699}" xr6:coauthVersionLast="36" xr6:coauthVersionMax="36" xr10:uidLastSave="{00000000-0000-0000-0000-000000000000}"/>
  <bookViews>
    <workbookView xWindow="-105" yWindow="-105" windowWidth="19425" windowHeight="10425" firstSheet="1" activeTab="3" xr2:uid="{00000000-000D-0000-FFFF-FFFF00000000}"/>
  </bookViews>
  <sheets>
    <sheet name="answers" sheetId="14" state="hidden" r:id="rId1"/>
    <sheet name="CDS-A" sheetId="13" r:id="rId2"/>
    <sheet name="CDS-B" sheetId="7" r:id="rId3"/>
    <sheet name="CDS-C" sheetId="19" r:id="rId4"/>
    <sheet name="CDS-D" sheetId="11" r:id="rId5"/>
    <sheet name="CDS-E" sheetId="15" r:id="rId6"/>
    <sheet name="CDS-F" sheetId="17" r:id="rId7"/>
    <sheet name="CDS-G" sheetId="9" r:id="rId8"/>
    <sheet name="CDS-H" sheetId="1" r:id="rId9"/>
    <sheet name="CDS-I" sheetId="4" r:id="rId10"/>
    <sheet name="CDS-J" sheetId="5" r:id="rId11"/>
    <sheet name="CDS Definitions" sheetId="20" r:id="rId12"/>
  </sheets>
  <definedNames>
    <definedName name="_xlnm._FilterDatabase" localSheetId="0" hidden="1">answers!$A$1:$B$784</definedName>
    <definedName name="_Hlk22631867" localSheetId="11">'CDS Definitions'!$A$101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72" i="7" l="1"/>
  <c r="E72" i="7"/>
  <c r="C72" i="7"/>
  <c r="K22" i="4"/>
  <c r="K23" i="4"/>
  <c r="K24" i="4"/>
  <c r="K25" i="4"/>
  <c r="K26" i="4"/>
  <c r="K27" i="4"/>
  <c r="K28" i="4"/>
  <c r="K29" i="4"/>
  <c r="K30" i="4"/>
  <c r="K21" i="4"/>
  <c r="D84" i="7"/>
  <c r="E84" i="7"/>
  <c r="C84" i="7"/>
  <c r="E12" i="7"/>
  <c r="B490" i="14" s="1"/>
  <c r="B614" i="14"/>
  <c r="B383" i="14"/>
  <c r="B625" i="14"/>
  <c r="B67" i="14"/>
  <c r="B66" i="14"/>
  <c r="B81" i="14"/>
  <c r="B70" i="14"/>
  <c r="B69" i="14"/>
  <c r="B80" i="14"/>
  <c r="B79" i="14"/>
  <c r="B78" i="14"/>
  <c r="B77" i="14"/>
  <c r="B72" i="14"/>
  <c r="B71" i="14"/>
  <c r="B55" i="14"/>
  <c r="B54" i="14"/>
  <c r="B56" i="14"/>
  <c r="B52" i="14"/>
  <c r="B47" i="14"/>
  <c r="B50" i="14"/>
  <c r="B43" i="14"/>
  <c r="B416" i="14"/>
  <c r="B415" i="14"/>
  <c r="B414" i="14"/>
  <c r="B413" i="14"/>
  <c r="B412" i="14"/>
  <c r="B411" i="14"/>
  <c r="B410" i="14"/>
  <c r="B409" i="14"/>
  <c r="B408" i="14"/>
  <c r="B407" i="14"/>
  <c r="B406" i="14"/>
  <c r="B405" i="14"/>
  <c r="B404" i="14"/>
  <c r="B403" i="14"/>
  <c r="B402" i="14"/>
  <c r="B395" i="14"/>
  <c r="B394" i="14"/>
  <c r="B393" i="14"/>
  <c r="B392" i="14"/>
  <c r="B391" i="14"/>
  <c r="B390" i="14"/>
  <c r="B401" i="14"/>
  <c r="B400" i="14"/>
  <c r="B399" i="14"/>
  <c r="B398" i="14"/>
  <c r="B397" i="14"/>
  <c r="B396" i="14"/>
  <c r="B389" i="14"/>
  <c r="B388" i="14"/>
  <c r="B387" i="14"/>
  <c r="B386" i="14"/>
  <c r="B385" i="14"/>
  <c r="B384" i="14"/>
  <c r="B382" i="14"/>
  <c r="B381" i="14"/>
  <c r="B380" i="14"/>
  <c r="B379" i="14"/>
  <c r="B378" i="14"/>
  <c r="B377" i="14"/>
  <c r="B376" i="14"/>
  <c r="B375" i="14"/>
  <c r="B374" i="14"/>
  <c r="B373" i="14"/>
  <c r="B372" i="14"/>
  <c r="B371" i="14"/>
  <c r="B370" i="14"/>
  <c r="B369" i="14"/>
  <c r="B368" i="14"/>
  <c r="B367" i="14"/>
  <c r="B366" i="14"/>
  <c r="B365" i="14"/>
  <c r="B364" i="14"/>
  <c r="B363" i="14"/>
  <c r="B362" i="14"/>
  <c r="B361" i="14"/>
  <c r="B360" i="14"/>
  <c r="B359" i="14"/>
  <c r="B358" i="14"/>
  <c r="B357" i="14"/>
  <c r="B356" i="14"/>
  <c r="B355" i="14"/>
  <c r="B354" i="14"/>
  <c r="B349" i="14"/>
  <c r="B348" i="14"/>
  <c r="B351" i="14"/>
  <c r="B350" i="14"/>
  <c r="B353" i="14"/>
  <c r="B352" i="14"/>
  <c r="B347" i="14"/>
  <c r="B346" i="14"/>
  <c r="B345" i="14"/>
  <c r="B344" i="14"/>
  <c r="B343" i="14"/>
  <c r="B342" i="14"/>
  <c r="B341" i="14"/>
  <c r="B340" i="14"/>
  <c r="B339" i="14"/>
  <c r="B338" i="14"/>
  <c r="B337" i="14"/>
  <c r="B336" i="14"/>
  <c r="B333" i="14"/>
  <c r="B335" i="14"/>
  <c r="B332" i="14"/>
  <c r="B334" i="14"/>
  <c r="B40" i="14"/>
  <c r="B39" i="14"/>
  <c r="B38" i="14"/>
  <c r="B7" i="14"/>
  <c r="B324" i="14"/>
  <c r="B323" i="14"/>
  <c r="B320" i="14"/>
  <c r="B317" i="14"/>
  <c r="B481" i="14"/>
  <c r="B480" i="14"/>
  <c r="B479" i="14"/>
  <c r="B478" i="14"/>
  <c r="B477" i="14"/>
  <c r="B476" i="14"/>
  <c r="B498" i="14"/>
  <c r="B497" i="14"/>
  <c r="B485" i="14"/>
  <c r="B484" i="14"/>
  <c r="B461" i="14"/>
  <c r="B460" i="14"/>
  <c r="B455" i="14"/>
  <c r="B454" i="14"/>
  <c r="L54" i="17" a="1"/>
  <c r="L54" i="17" s="1"/>
  <c r="L53" i="17" a="1"/>
  <c r="L53" i="17" s="1"/>
  <c r="L48" i="17" a="1"/>
  <c r="L48" i="17" s="1"/>
  <c r="L47" i="17" a="1"/>
  <c r="L47" i="17" s="1"/>
  <c r="L46" i="17" a="1"/>
  <c r="L46" i="17" s="1"/>
  <c r="M41" i="17" a="1"/>
  <c r="M41" i="17" s="1"/>
  <c r="L40" i="17" a="1"/>
  <c r="L40" i="17" s="1"/>
  <c r="E38" i="15" a="1"/>
  <c r="E38" i="15" s="1"/>
  <c r="E35" i="15" a="1"/>
  <c r="E35" i="15" s="1"/>
  <c r="E34" i="15" a="1"/>
  <c r="E34" i="15" s="1"/>
  <c r="E22" i="15" a="1"/>
  <c r="E22" i="15" s="1"/>
  <c r="E21" i="15" a="1"/>
  <c r="E21" i="15" s="1"/>
  <c r="E6" i="15" a="1"/>
  <c r="E6" i="15" s="1"/>
  <c r="D15" i="11"/>
  <c r="B3" i="14" s="1"/>
  <c r="E15" i="11"/>
  <c r="B4" i="14" s="1"/>
  <c r="C15" i="11"/>
  <c r="B2" i="14" s="1"/>
  <c r="F216" i="19"/>
  <c r="G216" i="19"/>
  <c r="E241" i="19"/>
  <c r="E242" i="19" s="1"/>
  <c r="D239" i="19"/>
  <c r="E216" i="19"/>
  <c r="D216" i="19"/>
  <c r="C216" i="19"/>
  <c r="C207" i="19"/>
  <c r="D198" i="19"/>
  <c r="C198" i="19"/>
  <c r="I77" i="19" a="1"/>
  <c r="P110" i="19" a="1"/>
  <c r="O111" i="19" a="1"/>
  <c r="S112" i="19" a="1"/>
  <c r="I84" i="19" a="1"/>
  <c r="H305" i="19" a="1"/>
  <c r="I89" i="19" a="1"/>
  <c r="H105" i="19" a="1"/>
  <c r="H154" i="19" a="1"/>
  <c r="H335" i="19" a="1"/>
  <c r="H142" i="19" a="1"/>
  <c r="I94" i="19" a="1"/>
  <c r="I83" i="19" a="1"/>
  <c r="H285" i="19" a="1"/>
  <c r="H262" i="19" a="1"/>
  <c r="R111" i="19" a="1"/>
  <c r="Q112" i="19" a="1"/>
  <c r="O110" i="19" a="1"/>
  <c r="I69" i="19" a="1"/>
  <c r="I85" i="19" a="1"/>
  <c r="I91" i="19" a="1"/>
  <c r="R112" i="19" a="1"/>
  <c r="O114" i="19" a="1"/>
  <c r="H329" i="19" a="1"/>
  <c r="H300" i="19" a="1"/>
  <c r="P111" i="19" a="1"/>
  <c r="J119" i="19" a="1"/>
  <c r="S113" i="19" a="1"/>
  <c r="I66" i="19" a="1"/>
  <c r="Q114" i="19" a="1"/>
  <c r="I68" i="19" a="1"/>
  <c r="H286" i="19" a="1"/>
  <c r="R114" i="19" a="1"/>
  <c r="H259" i="19" a="1"/>
  <c r="S114" i="19" a="1"/>
  <c r="Q113" i="19" a="1"/>
  <c r="I88" i="19" a="1"/>
  <c r="I86" i="19" a="1"/>
  <c r="H152" i="19" a="1"/>
  <c r="I87" i="19" a="1"/>
  <c r="R110" i="19" a="1"/>
  <c r="R113" i="19" a="1"/>
  <c r="H294" i="19" a="1"/>
  <c r="I93" i="19" a="1"/>
  <c r="Q111" i="19" a="1"/>
  <c r="H250" i="19" a="1"/>
  <c r="I90" i="19" a="1"/>
  <c r="H151" i="19" a="1"/>
  <c r="H155" i="19" a="1"/>
  <c r="H157" i="19" a="1"/>
  <c r="S111" i="19" a="1"/>
  <c r="P114" i="19" a="1"/>
  <c r="I70" i="19" a="1"/>
  <c r="H278" i="19" a="1"/>
  <c r="H284" i="19" a="1"/>
  <c r="P112" i="19" a="1"/>
  <c r="H258" i="19" a="1"/>
  <c r="S110" i="19" a="1"/>
  <c r="I79" i="19" a="1"/>
  <c r="H266" i="19" a="1"/>
  <c r="I76" i="19" a="1"/>
  <c r="O112" i="19" a="1"/>
  <c r="Q110" i="19" a="1"/>
  <c r="I95" i="19" a="1"/>
  <c r="H255" i="19" a="1"/>
  <c r="I78" i="19" a="1"/>
  <c r="H153" i="19" a="1"/>
  <c r="H313" i="19" a="1"/>
  <c r="O113" i="19" a="1"/>
  <c r="P113" i="19" a="1"/>
  <c r="I92" i="19" a="1"/>
  <c r="H156" i="19" a="1"/>
  <c r="H260" i="19" a="1"/>
  <c r="J126" i="19" a="1"/>
  <c r="H274" i="19" a="1"/>
  <c r="I81" i="19" a="1"/>
  <c r="I80" i="19" a="1"/>
  <c r="H294" i="19" l="1"/>
  <c r="B73" i="14" s="1"/>
  <c r="I90" i="19"/>
  <c r="B21" i="14" s="1"/>
  <c r="J126" i="19"/>
  <c r="B34" i="14" s="1"/>
  <c r="I91" i="19"/>
  <c r="B22" i="14" s="1"/>
  <c r="Q111" i="19"/>
  <c r="J119" i="19"/>
  <c r="B33" i="14" s="1"/>
  <c r="I83" i="19"/>
  <c r="B14" i="14" s="1"/>
  <c r="S110" i="19"/>
  <c r="H335" i="19"/>
  <c r="B68" i="14" s="1"/>
  <c r="Q113" i="19"/>
  <c r="I76" i="19"/>
  <c r="B8" i="14" s="1"/>
  <c r="H262" i="19"/>
  <c r="B46" i="14" s="1"/>
  <c r="H156" i="19"/>
  <c r="I93" i="19"/>
  <c r="B24" i="14" s="1"/>
  <c r="R110" i="19"/>
  <c r="H142" i="19"/>
  <c r="B37" i="14" s="1"/>
  <c r="O113" i="19"/>
  <c r="H153" i="19"/>
  <c r="H250" i="19"/>
  <c r="B42" i="14" s="1"/>
  <c r="Q112" i="19"/>
  <c r="H255" i="19"/>
  <c r="B44" i="14" s="1"/>
  <c r="S111" i="19"/>
  <c r="I92" i="19"/>
  <c r="B23" i="14" s="1"/>
  <c r="P111" i="19"/>
  <c r="Q114" i="19"/>
  <c r="I77" i="19"/>
  <c r="B9" i="14" s="1"/>
  <c r="H266" i="19"/>
  <c r="B49" i="14" s="1"/>
  <c r="P112" i="19"/>
  <c r="H157" i="19"/>
  <c r="I66" i="19"/>
  <c r="I78" i="19"/>
  <c r="B10" i="14" s="1"/>
  <c r="I86" i="19"/>
  <c r="B17" i="14" s="1"/>
  <c r="I94" i="19"/>
  <c r="B25" i="14" s="1"/>
  <c r="O110" i="19"/>
  <c r="R111" i="19"/>
  <c r="S114" i="19"/>
  <c r="I68" i="19"/>
  <c r="I79" i="19"/>
  <c r="B12" i="14" s="1"/>
  <c r="I87" i="19"/>
  <c r="B18" i="14" s="1"/>
  <c r="I95" i="19"/>
  <c r="B26" i="14" s="1"/>
  <c r="H278" i="19"/>
  <c r="B51" i="14" s="1"/>
  <c r="H300" i="19"/>
  <c r="B74" i="14" s="1"/>
  <c r="O111" i="19"/>
  <c r="P114" i="19"/>
  <c r="R112" i="19"/>
  <c r="H151" i="19"/>
  <c r="H285" i="19"/>
  <c r="I69" i="19"/>
  <c r="I80" i="19"/>
  <c r="B13" i="14" s="1"/>
  <c r="I88" i="19"/>
  <c r="B19" i="14" s="1"/>
  <c r="H313" i="19"/>
  <c r="B76" i="14" s="1"/>
  <c r="R114" i="19"/>
  <c r="H329" i="19"/>
  <c r="B65" i="14" s="1"/>
  <c r="O114" i="19"/>
  <c r="H154" i="19"/>
  <c r="H258" i="19"/>
  <c r="I84" i="19"/>
  <c r="B15" i="14" s="1"/>
  <c r="P110" i="19"/>
  <c r="H155" i="19"/>
  <c r="H259" i="19"/>
  <c r="S112" i="19"/>
  <c r="H260" i="19"/>
  <c r="I85" i="19"/>
  <c r="B16" i="14" s="1"/>
  <c r="S113" i="19"/>
  <c r="H274" i="19"/>
  <c r="B48" i="14" s="1"/>
  <c r="P113" i="19"/>
  <c r="H284" i="19"/>
  <c r="H105" i="19"/>
  <c r="B27" i="14" s="1"/>
  <c r="H305" i="19"/>
  <c r="B75" i="14" s="1"/>
  <c r="O112" i="19"/>
  <c r="Q110" i="19"/>
  <c r="R113" i="19"/>
  <c r="H152" i="19"/>
  <c r="H286" i="19"/>
  <c r="I70" i="19"/>
  <c r="I81" i="19"/>
  <c r="B11" i="14" s="1"/>
  <c r="I89" i="19"/>
  <c r="B20" i="14" s="1"/>
  <c r="B785" i="14"/>
  <c r="I258" i="19"/>
  <c r="J283" i="19"/>
  <c r="U111" i="19"/>
  <c r="K66" i="19"/>
  <c r="U112" i="19"/>
  <c r="U113" i="19"/>
  <c r="U114" i="19"/>
  <c r="U110" i="19"/>
  <c r="B6" i="14" l="1"/>
  <c r="B45" i="14"/>
  <c r="B28" i="14"/>
  <c r="B31" i="14"/>
  <c r="B30" i="14"/>
  <c r="B29" i="14"/>
  <c r="B53" i="14"/>
  <c r="B32" i="14"/>
  <c r="G12" i="7"/>
  <c r="G19" i="7"/>
  <c r="E19" i="7"/>
  <c r="B482" i="14" s="1"/>
  <c r="E14" i="7"/>
  <c r="B503" i="14" s="1"/>
  <c r="B111" i="14"/>
  <c r="B634" i="14"/>
  <c r="B633" i="14"/>
  <c r="B629" i="14"/>
  <c r="B632" i="14"/>
  <c r="B631" i="14"/>
  <c r="B630" i="14"/>
  <c r="B628" i="14"/>
  <c r="B627" i="14"/>
  <c r="B649" i="14"/>
  <c r="B648" i="14"/>
  <c r="B89" i="14"/>
  <c r="B88" i="14"/>
  <c r="B86" i="14"/>
  <c r="B85" i="14"/>
  <c r="B84" i="14"/>
  <c r="B83" i="14"/>
  <c r="B99" i="14"/>
  <c r="B98" i="14"/>
  <c r="B97" i="14"/>
  <c r="B96" i="14"/>
  <c r="B95" i="14"/>
  <c r="B94" i="14"/>
  <c r="B93" i="14"/>
  <c r="B92" i="14"/>
  <c r="B91" i="14"/>
  <c r="B123" i="14" a="1"/>
  <c r="B123" i="14" s="1"/>
  <c r="B131" i="14"/>
  <c r="B129" i="14"/>
  <c r="B127" i="14"/>
  <c r="B125" i="14"/>
  <c r="B122" i="14" a="1"/>
  <c r="B122" i="14" s="1"/>
  <c r="B130" i="14"/>
  <c r="B128" i="14"/>
  <c r="B126" i="14"/>
  <c r="B124" i="14"/>
  <c r="B121" i="14" a="1"/>
  <c r="B121" i="14" s="1"/>
  <c r="B120" i="14"/>
  <c r="B119" i="14"/>
  <c r="B118" i="14"/>
  <c r="B117" i="14"/>
  <c r="B116" i="14" a="1"/>
  <c r="B116" i="14" s="1"/>
  <c r="B115" i="14"/>
  <c r="B114" i="14"/>
  <c r="B113" i="14"/>
  <c r="B112" i="14"/>
  <c r="B110" i="14"/>
  <c r="B109" i="14"/>
  <c r="B102" i="14"/>
  <c r="K36" i="11" a="1"/>
  <c r="K36" i="11" s="1"/>
  <c r="B108" i="14" s="1"/>
  <c r="K35" i="11" a="1"/>
  <c r="K35" i="11" s="1"/>
  <c r="B107" i="14" s="1"/>
  <c r="K34" i="11" a="1"/>
  <c r="K34" i="11" s="1"/>
  <c r="B106" i="14" s="1"/>
  <c r="K33" i="11" a="1"/>
  <c r="K33" i="11" s="1"/>
  <c r="B105" i="14" s="1"/>
  <c r="K32" i="11" a="1"/>
  <c r="K32" i="11" s="1"/>
  <c r="B104" i="14" s="1"/>
  <c r="K31" i="11" a="1"/>
  <c r="K31" i="11" s="1"/>
  <c r="B103" i="14" s="1"/>
  <c r="K98" i="11" a="1"/>
  <c r="K98" i="11" s="1"/>
  <c r="K84" i="11" a="1"/>
  <c r="K84" i="11" s="1"/>
  <c r="K83" i="11" a="1"/>
  <c r="K83" i="11" s="1"/>
  <c r="K82" i="11" a="1"/>
  <c r="K82" i="11" s="1"/>
  <c r="K55" i="11" a="1"/>
  <c r="K55" i="11" s="1"/>
  <c r="B90" i="14" s="1"/>
  <c r="K6" i="11" a="1"/>
  <c r="K6" i="11" s="1"/>
  <c r="K25" i="11" a="1"/>
  <c r="K25" i="11" s="1"/>
  <c r="K23" i="11" a="1"/>
  <c r="K23" i="11" s="1"/>
  <c r="K22" i="11" a="1"/>
  <c r="K22" i="11" s="1"/>
  <c r="K21" i="11" a="1"/>
  <c r="K21" i="11" s="1"/>
  <c r="K20" i="11" a="1"/>
  <c r="K20" i="11" s="1"/>
  <c r="K5" i="11" a="1"/>
  <c r="K5" i="11" s="1"/>
  <c r="B624" i="14"/>
  <c r="B643" i="14"/>
  <c r="B641" i="14"/>
  <c r="B642" i="14"/>
  <c r="B640" i="14"/>
  <c r="B639" i="14"/>
  <c r="B638" i="14"/>
  <c r="B637" i="14"/>
  <c r="B626" i="14"/>
  <c r="B636" i="14"/>
  <c r="B651" i="14"/>
  <c r="B650" i="14"/>
  <c r="H90" i="13" a="1"/>
  <c r="H90" i="13" s="1"/>
  <c r="H89" i="13" a="1"/>
  <c r="H89" i="13" s="1"/>
  <c r="H88" i="13" a="1"/>
  <c r="H88" i="13" s="1"/>
  <c r="H87" i="13" a="1"/>
  <c r="H87" i="13" s="1"/>
  <c r="H86" i="13" a="1"/>
  <c r="H86" i="13" s="1"/>
  <c r="H85" i="13" a="1"/>
  <c r="H85" i="13" s="1"/>
  <c r="H84" i="13" a="1"/>
  <c r="H84" i="13" s="1"/>
  <c r="H83" i="13" a="1"/>
  <c r="H83" i="13" s="1"/>
  <c r="H82" i="13" a="1"/>
  <c r="H82" i="13" s="1"/>
  <c r="H81" i="13" a="1"/>
  <c r="H81" i="13" s="1"/>
  <c r="H80" i="13" a="1"/>
  <c r="H80" i="13" s="1"/>
  <c r="H79" i="13" a="1"/>
  <c r="H79" i="13" s="1"/>
  <c r="H20" i="13" a="1"/>
  <c r="H20" i="13" s="1"/>
  <c r="B635" i="14" s="1"/>
  <c r="B60" i="14"/>
  <c r="B59" i="14"/>
  <c r="B58" i="14"/>
  <c r="B331" i="14"/>
  <c r="B330" i="14"/>
  <c r="B329" i="14"/>
  <c r="B328" i="14"/>
  <c r="B326" i="14"/>
  <c r="B327" i="14"/>
  <c r="B325" i="14"/>
  <c r="B322" i="14"/>
  <c r="B321" i="14"/>
  <c r="B319" i="14"/>
  <c r="B318" i="14"/>
  <c r="L42" i="17" a="1"/>
  <c r="L42" i="17" s="1"/>
  <c r="L41" i="17" a="1"/>
  <c r="L41" i="17" s="1"/>
  <c r="K42" i="17" a="1"/>
  <c r="K42" i="17" s="1"/>
  <c r="K41" i="17" a="1"/>
  <c r="K41" i="17" s="1"/>
  <c r="K40" i="17" a="1"/>
  <c r="K40" i="17" s="1"/>
  <c r="H43" i="9" a="1"/>
  <c r="H43" i="9" s="1"/>
  <c r="B313" i="14" s="1"/>
  <c r="H42" i="9" a="1"/>
  <c r="H42" i="9" s="1"/>
  <c r="B316" i="14" s="1"/>
  <c r="B622" i="14"/>
  <c r="B621" i="14"/>
  <c r="B619" i="14"/>
  <c r="B618" i="14"/>
  <c r="B613" i="14"/>
  <c r="B611" i="14"/>
  <c r="B610" i="14"/>
  <c r="B609" i="14"/>
  <c r="B608" i="14"/>
  <c r="B607" i="14"/>
  <c r="B605" i="14"/>
  <c r="B603" i="14"/>
  <c r="B602" i="14"/>
  <c r="B601" i="14"/>
  <c r="B598" i="14"/>
  <c r="B597" i="14"/>
  <c r="B596" i="14"/>
  <c r="B595" i="14"/>
  <c r="B594" i="14"/>
  <c r="B593" i="14"/>
  <c r="B592" i="14"/>
  <c r="B591" i="14"/>
  <c r="B590" i="14"/>
  <c r="B589" i="14"/>
  <c r="B588" i="14"/>
  <c r="B587" i="14"/>
  <c r="B586" i="14"/>
  <c r="B585" i="14"/>
  <c r="B584" i="14"/>
  <c r="B599" i="14"/>
  <c r="B583" i="14"/>
  <c r="B582" i="14"/>
  <c r="B581" i="14"/>
  <c r="B580" i="14"/>
  <c r="B579" i="14"/>
  <c r="B578" i="14"/>
  <c r="B577" i="14"/>
  <c r="B576" i="14"/>
  <c r="B575" i="14"/>
  <c r="B574" i="14"/>
  <c r="B573" i="14"/>
  <c r="B572" i="14"/>
  <c r="B571" i="14"/>
  <c r="B570" i="14"/>
  <c r="B569" i="14"/>
  <c r="B568" i="14"/>
  <c r="B567" i="14"/>
  <c r="B566" i="14"/>
  <c r="B565" i="14"/>
  <c r="B564" i="14"/>
  <c r="B563" i="14"/>
  <c r="B562" i="14"/>
  <c r="B561" i="14"/>
  <c r="B560" i="14"/>
  <c r="B559" i="14"/>
  <c r="B558" i="14"/>
  <c r="B557" i="14"/>
  <c r="B556" i="14"/>
  <c r="B555" i="14"/>
  <c r="B554" i="14"/>
  <c r="B553" i="14"/>
  <c r="B552" i="14"/>
  <c r="B551" i="14"/>
  <c r="B550" i="14"/>
  <c r="B549" i="14"/>
  <c r="B548" i="14"/>
  <c r="B547" i="14"/>
  <c r="B546" i="14"/>
  <c r="B545" i="14"/>
  <c r="B544" i="14"/>
  <c r="B543" i="14"/>
  <c r="B542" i="14"/>
  <c r="B541" i="14"/>
  <c r="B540" i="14"/>
  <c r="B539" i="14"/>
  <c r="B538" i="14"/>
  <c r="B537" i="14"/>
  <c r="B536" i="14"/>
  <c r="B535" i="14"/>
  <c r="B534" i="14"/>
  <c r="B533" i="14"/>
  <c r="B532" i="14"/>
  <c r="B531" i="14"/>
  <c r="B530" i="14"/>
  <c r="B529" i="14"/>
  <c r="B528" i="14"/>
  <c r="B527" i="14"/>
  <c r="B524" i="14"/>
  <c r="B523" i="14"/>
  <c r="B522" i="14"/>
  <c r="B521" i="14"/>
  <c r="B520" i="14"/>
  <c r="B517" i="14"/>
  <c r="B516" i="14"/>
  <c r="B515" i="14"/>
  <c r="B514" i="14"/>
  <c r="B513" i="14"/>
  <c r="B512" i="14"/>
  <c r="B511" i="14"/>
  <c r="B510" i="14"/>
  <c r="XFD213" i="1" a="1"/>
  <c r="XFD213" i="1" s="1"/>
  <c r="XFD212" i="1" a="1"/>
  <c r="XFD212" i="1" s="1"/>
  <c r="XFD211" i="1" a="1"/>
  <c r="XFD211" i="1" s="1"/>
  <c r="XFD210" i="1" a="1"/>
  <c r="XFD210" i="1" s="1"/>
  <c r="XFD209" i="1" a="1"/>
  <c r="XFD209" i="1" s="1"/>
  <c r="XFD207" i="1" a="1"/>
  <c r="XFD207" i="1" s="1"/>
  <c r="XFD205" i="1" a="1"/>
  <c r="XFD205" i="1" s="1"/>
  <c r="XFD206" i="1" a="1"/>
  <c r="XFD206" i="1" s="1"/>
  <c r="XFD204" i="1" a="1"/>
  <c r="XFD204" i="1" s="1"/>
  <c r="XFD203" i="1" a="1"/>
  <c r="XFD203" i="1" s="1"/>
  <c r="H42" i="1" a="1"/>
  <c r="H42" i="1" s="1"/>
  <c r="H41" i="1" a="1"/>
  <c r="H41" i="1" s="1"/>
  <c r="H40" i="1" a="1"/>
  <c r="H40" i="1" s="1"/>
  <c r="B509" i="14" s="1"/>
  <c r="H121" i="1" a="1"/>
  <c r="H121" i="1" s="1"/>
  <c r="B600" i="14" s="1"/>
  <c r="H150" i="1" a="1"/>
  <c r="H150" i="1" s="1"/>
  <c r="H149" i="1" a="1"/>
  <c r="H149" i="1" s="1"/>
  <c r="H148" i="1" a="1"/>
  <c r="H148" i="1" s="1"/>
  <c r="H147" i="1" a="1"/>
  <c r="H147" i="1" s="1"/>
  <c r="H146" i="1" a="1"/>
  <c r="H146" i="1" s="1"/>
  <c r="H145" i="1" a="1"/>
  <c r="H145" i="1" s="1"/>
  <c r="H144" i="1" a="1"/>
  <c r="H144" i="1" s="1"/>
  <c r="H137" i="1" a="1"/>
  <c r="H137" i="1" s="1"/>
  <c r="H136" i="1" a="1"/>
  <c r="H136" i="1" s="1"/>
  <c r="H135" i="1" a="1"/>
  <c r="H135" i="1" s="1"/>
  <c r="H134" i="1" a="1"/>
  <c r="H134" i="1" s="1"/>
  <c r="H133" i="1" a="1"/>
  <c r="H133" i="1" s="1"/>
  <c r="H186" i="1" a="1"/>
  <c r="H186" i="1" s="1"/>
  <c r="H185" i="1" a="1"/>
  <c r="H185" i="1" s="1"/>
  <c r="H184" i="1" a="1"/>
  <c r="H184" i="1" s="1"/>
  <c r="H183" i="1" a="1"/>
  <c r="H183" i="1" s="1"/>
  <c r="H182" i="1" a="1"/>
  <c r="H182" i="1" s="1"/>
  <c r="H181" i="1" a="1"/>
  <c r="H181" i="1" s="1"/>
  <c r="H180" i="1" a="1"/>
  <c r="H180" i="1" s="1"/>
  <c r="H179" i="1" a="1"/>
  <c r="H179" i="1" s="1"/>
  <c r="H222" i="1" a="1"/>
  <c r="H222" i="1" s="1"/>
  <c r="B615" i="14" s="1"/>
  <c r="H213" i="1" a="1"/>
  <c r="H213" i="1" s="1"/>
  <c r="H212" i="1" a="1"/>
  <c r="H212" i="1" s="1"/>
  <c r="H211" i="1" a="1"/>
  <c r="H211" i="1" s="1"/>
  <c r="H210" i="1" a="1"/>
  <c r="H210" i="1" s="1"/>
  <c r="H209" i="1" a="1"/>
  <c r="H209" i="1" s="1"/>
  <c r="H208" i="1" a="1"/>
  <c r="H208" i="1" s="1"/>
  <c r="H207" i="1" a="1"/>
  <c r="H207" i="1" s="1"/>
  <c r="H206" i="1" a="1"/>
  <c r="H206" i="1" s="1"/>
  <c r="H205" i="1" a="1"/>
  <c r="H205" i="1" s="1"/>
  <c r="H204" i="1" a="1"/>
  <c r="H204" i="1" s="1"/>
  <c r="H203" i="1" a="1"/>
  <c r="H203" i="1" s="1"/>
  <c r="H198" i="1" a="1"/>
  <c r="H198" i="1" s="1"/>
  <c r="H197" i="1" a="1"/>
  <c r="H197" i="1" s="1"/>
  <c r="H196" i="1" a="1"/>
  <c r="H196" i="1" s="1"/>
  <c r="H195" i="1" a="1"/>
  <c r="H195" i="1" s="1"/>
  <c r="H194" i="1" a="1"/>
  <c r="H194" i="1" s="1"/>
  <c r="H193" i="1" a="1"/>
  <c r="H193" i="1" s="1"/>
  <c r="H192" i="1" a="1"/>
  <c r="H192" i="1" s="1"/>
  <c r="H191" i="1" a="1"/>
  <c r="H191" i="1" s="1"/>
  <c r="H166" i="1" a="1"/>
  <c r="H166" i="1" s="1"/>
  <c r="B612" i="14" s="1"/>
  <c r="B269" i="14"/>
  <c r="B191" i="14"/>
  <c r="B230" i="14"/>
  <c r="B268" i="14"/>
  <c r="B190" i="14"/>
  <c r="B229" i="14"/>
  <c r="B267" i="14"/>
  <c r="B189" i="14"/>
  <c r="B228" i="14"/>
  <c r="B266" i="14"/>
  <c r="B188" i="14"/>
  <c r="B227" i="14"/>
  <c r="B265" i="14"/>
  <c r="B187" i="14"/>
  <c r="B226" i="14"/>
  <c r="B264" i="14"/>
  <c r="B186" i="14"/>
  <c r="B225" i="14"/>
  <c r="B263" i="14"/>
  <c r="B185" i="14"/>
  <c r="B224" i="14"/>
  <c r="B262" i="14"/>
  <c r="B184" i="14"/>
  <c r="B223" i="14"/>
  <c r="B261" i="14"/>
  <c r="B183" i="14"/>
  <c r="B222" i="14"/>
  <c r="B260" i="14"/>
  <c r="B182" i="14"/>
  <c r="B221" i="14"/>
  <c r="B259" i="14"/>
  <c r="B181" i="14"/>
  <c r="B220" i="14"/>
  <c r="B258" i="14"/>
  <c r="B180" i="14"/>
  <c r="B219" i="14"/>
  <c r="B257" i="14"/>
  <c r="B179" i="14"/>
  <c r="B218" i="14"/>
  <c r="B256" i="14"/>
  <c r="B178" i="14"/>
  <c r="B217" i="14"/>
  <c r="B255" i="14"/>
  <c r="B177" i="14"/>
  <c r="B216" i="14"/>
  <c r="B254" i="14"/>
  <c r="B176" i="14"/>
  <c r="B215" i="14"/>
  <c r="B253" i="14"/>
  <c r="B175" i="14"/>
  <c r="B214" i="14"/>
  <c r="B252" i="14"/>
  <c r="B174" i="14"/>
  <c r="B213" i="14"/>
  <c r="B251" i="14"/>
  <c r="B173" i="14"/>
  <c r="B212" i="14"/>
  <c r="B250" i="14"/>
  <c r="B172" i="14"/>
  <c r="B211" i="14"/>
  <c r="B249" i="14"/>
  <c r="B171" i="14"/>
  <c r="B210" i="14"/>
  <c r="B248" i="14"/>
  <c r="B170" i="14"/>
  <c r="B209" i="14"/>
  <c r="B247" i="14"/>
  <c r="B169" i="14"/>
  <c r="B208" i="14"/>
  <c r="B246" i="14"/>
  <c r="B168" i="14"/>
  <c r="B207" i="14"/>
  <c r="B245" i="14"/>
  <c r="B167" i="14"/>
  <c r="B206" i="14"/>
  <c r="B244" i="14"/>
  <c r="B166" i="14"/>
  <c r="B205" i="14"/>
  <c r="B243" i="14"/>
  <c r="B165" i="14"/>
  <c r="B204" i="14"/>
  <c r="B242" i="14"/>
  <c r="B164" i="14"/>
  <c r="B203" i="14"/>
  <c r="B241" i="14"/>
  <c r="B163" i="14"/>
  <c r="B202" i="14"/>
  <c r="B240" i="14"/>
  <c r="B162" i="14"/>
  <c r="B201" i="14"/>
  <c r="B239" i="14"/>
  <c r="B161" i="14"/>
  <c r="B200" i="14"/>
  <c r="B238" i="14"/>
  <c r="B160" i="14"/>
  <c r="B199" i="14"/>
  <c r="B237" i="14"/>
  <c r="B159" i="14"/>
  <c r="B198" i="14"/>
  <c r="B236" i="14"/>
  <c r="B158" i="14"/>
  <c r="B197" i="14"/>
  <c r="B235" i="14"/>
  <c r="B157" i="14"/>
  <c r="B196" i="14"/>
  <c r="B234" i="14"/>
  <c r="B156" i="14"/>
  <c r="B195" i="14"/>
  <c r="B233" i="14"/>
  <c r="B155" i="14"/>
  <c r="B194" i="14"/>
  <c r="B232" i="14"/>
  <c r="B154" i="14"/>
  <c r="B193" i="14"/>
  <c r="B231" i="14"/>
  <c r="B153" i="14"/>
  <c r="B192" i="14"/>
  <c r="B689" i="14"/>
  <c r="B688" i="14"/>
  <c r="B687" i="14"/>
  <c r="B686" i="14"/>
  <c r="B685" i="14"/>
  <c r="B684" i="14"/>
  <c r="B683" i="14"/>
  <c r="B681" i="14"/>
  <c r="B680" i="14"/>
  <c r="B679" i="14"/>
  <c r="B678" i="14"/>
  <c r="B677" i="14"/>
  <c r="B676" i="14"/>
  <c r="B675" i="14"/>
  <c r="B674" i="14"/>
  <c r="B673" i="14"/>
  <c r="B672" i="14"/>
  <c r="B659" i="14"/>
  <c r="B658" i="14"/>
  <c r="B657" i="14"/>
  <c r="B656" i="14"/>
  <c r="B655" i="14"/>
  <c r="B654" i="14"/>
  <c r="B660" i="14"/>
  <c r="B661" i="14"/>
  <c r="B671" i="14"/>
  <c r="B670" i="14"/>
  <c r="B653" i="14"/>
  <c r="B652" i="14"/>
  <c r="B669" i="14"/>
  <c r="B668" i="14"/>
  <c r="B667" i="14"/>
  <c r="B666" i="14"/>
  <c r="B665" i="14"/>
  <c r="B664" i="14"/>
  <c r="B663" i="14"/>
  <c r="B662" i="14"/>
  <c r="B311" i="14"/>
  <c r="B310" i="14"/>
  <c r="B309" i="14"/>
  <c r="B308" i="14"/>
  <c r="B307" i="14"/>
  <c r="B306" i="14"/>
  <c r="B300" i="14"/>
  <c r="B296" i="14"/>
  <c r="B305" i="14"/>
  <c r="B299" i="14"/>
  <c r="B295" i="14"/>
  <c r="B304" i="14"/>
  <c r="B303" i="14"/>
  <c r="B298" i="14"/>
  <c r="B302" i="14"/>
  <c r="B301" i="14"/>
  <c r="B297" i="14"/>
  <c r="B294" i="14"/>
  <c r="B315" i="14"/>
  <c r="B314" i="14"/>
  <c r="B293" i="14"/>
  <c r="B292" i="14"/>
  <c r="B282" i="14"/>
  <c r="B283" i="14"/>
  <c r="B281" i="14"/>
  <c r="B291" i="14"/>
  <c r="B280" i="14"/>
  <c r="B290" i="14"/>
  <c r="B279" i="14"/>
  <c r="B289" i="14"/>
  <c r="B278" i="14"/>
  <c r="B288" i="14"/>
  <c r="B277" i="14"/>
  <c r="B287" i="14"/>
  <c r="B276" i="14"/>
  <c r="B286" i="14"/>
  <c r="B275" i="14"/>
  <c r="B285" i="14"/>
  <c r="B274" i="14"/>
  <c r="B284" i="14"/>
  <c r="B141" i="14"/>
  <c r="B132" i="14"/>
  <c r="B140" i="14"/>
  <c r="B133" i="14"/>
  <c r="B147" i="14"/>
  <c r="B139" i="14"/>
  <c r="B146" i="14"/>
  <c r="B138" i="14"/>
  <c r="B145" i="14"/>
  <c r="B137" i="14"/>
  <c r="B144" i="14"/>
  <c r="B136" i="14"/>
  <c r="B143" i="14"/>
  <c r="B135" i="14"/>
  <c r="B142" i="14"/>
  <c r="B134" i="14"/>
  <c r="B271" i="14"/>
  <c r="B273" i="14"/>
  <c r="B700" i="14"/>
  <c r="B781" i="14"/>
  <c r="B782" i="14"/>
  <c r="B784" i="14"/>
  <c r="B783" i="14"/>
  <c r="B780" i="14"/>
  <c r="B779" i="14"/>
  <c r="B778" i="14"/>
  <c r="B777" i="14"/>
  <c r="B776" i="14"/>
  <c r="B775" i="14"/>
  <c r="B774" i="14"/>
  <c r="B773" i="14"/>
  <c r="B772" i="14"/>
  <c r="B771" i="14"/>
  <c r="B767" i="14"/>
  <c r="B768" i="14"/>
  <c r="B766" i="14"/>
  <c r="B765" i="14"/>
  <c r="B726" i="14"/>
  <c r="B729" i="14"/>
  <c r="B730" i="14"/>
  <c r="B736" i="14"/>
  <c r="B733" i="14"/>
  <c r="B732" i="14"/>
  <c r="B742" i="14"/>
  <c r="B739" i="14"/>
  <c r="B738" i="14"/>
  <c r="B753" i="14"/>
  <c r="B752" i="14"/>
  <c r="B749" i="14"/>
  <c r="B759" i="14"/>
  <c r="B758" i="14"/>
  <c r="B756" i="14"/>
  <c r="B724" i="14"/>
  <c r="B728" i="14"/>
  <c r="B727" i="14"/>
  <c r="B735" i="14"/>
  <c r="B734" i="14"/>
  <c r="B731" i="14"/>
  <c r="B741" i="14"/>
  <c r="B740" i="14"/>
  <c r="B737" i="14"/>
  <c r="B754" i="14"/>
  <c r="B751" i="14"/>
  <c r="B750" i="14"/>
  <c r="B760" i="14"/>
  <c r="B757" i="14"/>
  <c r="B755" i="14"/>
  <c r="B699" i="14"/>
  <c r="B698" i="14"/>
  <c r="B697" i="14"/>
  <c r="B696" i="14"/>
  <c r="B695" i="14"/>
  <c r="B694" i="14"/>
  <c r="B693" i="14"/>
  <c r="B692" i="14"/>
  <c r="B691" i="14"/>
  <c r="B452" i="14"/>
  <c r="B442" i="14"/>
  <c r="B474" i="14"/>
  <c r="B451" i="14"/>
  <c r="B441" i="14"/>
  <c r="B473" i="14"/>
  <c r="B450" i="14"/>
  <c r="B440" i="14"/>
  <c r="B472" i="14"/>
  <c r="B449" i="14"/>
  <c r="B439" i="14"/>
  <c r="B471" i="14"/>
  <c r="B448" i="14"/>
  <c r="B438" i="14"/>
  <c r="B470" i="14"/>
  <c r="B447" i="14"/>
  <c r="B437" i="14"/>
  <c r="B469" i="14"/>
  <c r="B446" i="14"/>
  <c r="B436" i="14"/>
  <c r="B468" i="14"/>
  <c r="B445" i="14"/>
  <c r="B435" i="14"/>
  <c r="B467" i="14"/>
  <c r="B444" i="14"/>
  <c r="B434" i="14"/>
  <c r="B466" i="14"/>
  <c r="B428" i="14"/>
  <c r="B427" i="14"/>
  <c r="B426" i="14"/>
  <c r="B425" i="14"/>
  <c r="B424" i="14"/>
  <c r="B423" i="14"/>
  <c r="B422" i="14"/>
  <c r="B421" i="14"/>
  <c r="B420" i="14"/>
  <c r="B419" i="14"/>
  <c r="B418" i="14"/>
  <c r="B417" i="14"/>
  <c r="B502" i="14"/>
  <c r="B501" i="14"/>
  <c r="B500" i="14"/>
  <c r="B499" i="14"/>
  <c r="B489" i="14"/>
  <c r="B488" i="14"/>
  <c r="B487" i="14"/>
  <c r="B486" i="14"/>
  <c r="B465" i="14"/>
  <c r="B464" i="14"/>
  <c r="B463" i="14"/>
  <c r="B462" i="14"/>
  <c r="B459" i="14"/>
  <c r="B458" i="14"/>
  <c r="B457" i="14"/>
  <c r="B456" i="14"/>
  <c r="E23" i="15" a="1"/>
  <c r="E23" i="15" s="1"/>
  <c r="E20" i="15" a="1"/>
  <c r="E20" i="15" s="1"/>
  <c r="E19" i="15" a="1"/>
  <c r="E19" i="15" s="1"/>
  <c r="E18" i="15" a="1"/>
  <c r="E18" i="15" s="1"/>
  <c r="E17" i="15" a="1"/>
  <c r="E17" i="15" s="1"/>
  <c r="E16" i="15" a="1"/>
  <c r="E16" i="15" s="1"/>
  <c r="E15" i="15" a="1"/>
  <c r="E15" i="15" s="1"/>
  <c r="E14" i="15" a="1"/>
  <c r="E14" i="15" s="1"/>
  <c r="E13" i="15" a="1"/>
  <c r="E13" i="15" s="1"/>
  <c r="E12" i="15" a="1"/>
  <c r="E12" i="15" s="1"/>
  <c r="E11" i="15" a="1"/>
  <c r="E11" i="15" s="1"/>
  <c r="E10" i="15" a="1"/>
  <c r="E10" i="15" s="1"/>
  <c r="E9" i="15" a="1"/>
  <c r="E9" i="15" s="1"/>
  <c r="E8" i="15" a="1"/>
  <c r="E8" i="15" s="1"/>
  <c r="E7" i="15" a="1"/>
  <c r="E7" i="15" s="1"/>
  <c r="E5" i="15" a="1"/>
  <c r="E5" i="15" s="1"/>
  <c r="L58" i="17" a="1"/>
  <c r="L58" i="17" s="1"/>
  <c r="L57" i="17" a="1"/>
  <c r="L57" i="17" s="1"/>
  <c r="L56" i="17" a="1"/>
  <c r="L56" i="17" s="1"/>
  <c r="L55" i="17" a="1"/>
  <c r="L55" i="17" s="1"/>
  <c r="L52" i="17" a="1"/>
  <c r="L52" i="17" s="1"/>
  <c r="L51" i="17" a="1"/>
  <c r="L51" i="17" s="1"/>
  <c r="L50" i="17" a="1"/>
  <c r="L50" i="17" s="1"/>
  <c r="L49" i="17" a="1"/>
  <c r="L49" i="17" s="1"/>
  <c r="L36" i="17" a="1"/>
  <c r="L36" i="17" s="1"/>
  <c r="L35" i="17" a="1"/>
  <c r="L35" i="17" s="1"/>
  <c r="L34" i="17" a="1"/>
  <c r="L34" i="17" s="1"/>
  <c r="L33" i="17" a="1"/>
  <c r="L33" i="17" s="1"/>
  <c r="L32" i="17" a="1"/>
  <c r="L32" i="17" s="1"/>
  <c r="L31" i="17" a="1"/>
  <c r="L31" i="17" s="1"/>
  <c r="L30" i="17" a="1"/>
  <c r="L30" i="17" s="1"/>
  <c r="L29" i="17" a="1"/>
  <c r="L29" i="17" s="1"/>
  <c r="L28" i="17" a="1"/>
  <c r="L28" i="17" s="1"/>
  <c r="L27" i="17" a="1"/>
  <c r="L27" i="17" s="1"/>
  <c r="L26" i="17" a="1"/>
  <c r="L26" i="17" s="1"/>
  <c r="L25" i="17" a="1"/>
  <c r="L25" i="17" s="1"/>
  <c r="L24" i="17" a="1"/>
  <c r="L24" i="17" s="1"/>
  <c r="L23" i="17" a="1"/>
  <c r="L23" i="17" s="1"/>
  <c r="L22" i="17" a="1"/>
  <c r="L22" i="17" s="1"/>
  <c r="L21" i="17" a="1"/>
  <c r="L21" i="17" s="1"/>
  <c r="L20" i="17" a="1"/>
  <c r="L20" i="17" s="1"/>
  <c r="L19" i="17" a="1"/>
  <c r="L19" i="17" s="1"/>
  <c r="L18" i="17" a="1"/>
  <c r="L18" i="17" s="1"/>
  <c r="L17" i="17" a="1"/>
  <c r="L17" i="17" s="1"/>
  <c r="L16" i="17" a="1"/>
  <c r="L16" i="17" s="1"/>
  <c r="F67" i="7"/>
  <c r="B707" i="14" s="1"/>
  <c r="H36" i="19" a="1"/>
  <c r="B64" i="14" a="1"/>
  <c r="H47" i="19" a="1"/>
  <c r="H45" i="19" a="1"/>
  <c r="B41" i="14" a="1"/>
  <c r="H46" i="19" a="1"/>
  <c r="B604" i="14" l="1"/>
  <c r="H46" i="19"/>
  <c r="B62" i="14" s="1"/>
  <c r="H47" i="19"/>
  <c r="B63" i="14" s="1"/>
  <c r="H36" i="19"/>
  <c r="B57" i="14" s="1"/>
  <c r="H45" i="19"/>
  <c r="B61" i="14" s="1"/>
  <c r="B41" i="14"/>
  <c r="B64" i="14"/>
  <c r="B616" i="14"/>
  <c r="B617" i="14"/>
  <c r="B623" i="14"/>
  <c r="B620" i="14"/>
  <c r="B606" i="14"/>
  <c r="B149" i="14"/>
  <c r="B148" i="14"/>
  <c r="B100" i="14"/>
  <c r="B5" i="14"/>
  <c r="B87" i="14"/>
  <c r="B101" i="14"/>
  <c r="G14" i="7"/>
  <c r="G20" i="7" s="1"/>
  <c r="E20" i="7"/>
  <c r="B647" i="14"/>
  <c r="B272" i="14"/>
  <c r="B150" i="14"/>
  <c r="B152" i="14"/>
  <c r="B151" i="14"/>
  <c r="E41" i="15" a="1"/>
  <c r="E41" i="15" s="1"/>
  <c r="E40" i="15" a="1"/>
  <c r="E40" i="15" s="1"/>
  <c r="E39" i="15" a="1"/>
  <c r="E39" i="15" s="1"/>
  <c r="E37" i="15" a="1"/>
  <c r="E37" i="15" s="1"/>
  <c r="E36" i="15" a="1"/>
  <c r="E36" i="15" s="1"/>
  <c r="E33" i="15" a="1"/>
  <c r="E33" i="15" s="1"/>
  <c r="E32" i="15" a="1"/>
  <c r="E32" i="15" s="1"/>
  <c r="E31" i="15" a="1"/>
  <c r="E31" i="15" s="1"/>
  <c r="E30" i="15" a="1"/>
  <c r="E30" i="15" s="1"/>
  <c r="E29" i="15" a="1"/>
  <c r="E29" i="15" s="1"/>
  <c r="B270" i="14" l="1"/>
  <c r="H132" i="19"/>
  <c r="I132" i="19"/>
  <c r="H133" i="19"/>
  <c r="I133" i="19"/>
  <c r="H134" i="19"/>
  <c r="I134" i="19"/>
  <c r="H135" i="19"/>
  <c r="I135" i="19"/>
  <c r="H136" i="19"/>
  <c r="I136" i="19"/>
  <c r="H137" i="19"/>
  <c r="I137" i="19"/>
  <c r="H138" i="19"/>
  <c r="I138" i="19"/>
  <c r="F20" i="13" a="1"/>
  <c r="F20" i="13" s="1"/>
  <c r="D54" i="13" a="1"/>
  <c r="D54" i="13" s="1"/>
  <c r="B644" i="14" s="1"/>
  <c r="D60" i="13" a="1"/>
  <c r="D60" i="13" s="1"/>
  <c r="B645" i="14" s="1"/>
  <c r="E66" i="13" a="1"/>
  <c r="E66" i="13" s="1"/>
  <c r="B646" i="14" s="1"/>
  <c r="B82" i="14"/>
  <c r="B35" i="14" l="1"/>
  <c r="B36" i="14"/>
  <c r="C12" i="7"/>
  <c r="D12" i="7"/>
  <c r="F12" i="7"/>
  <c r="H12" i="7"/>
  <c r="B491" i="14" s="1"/>
  <c r="C19" i="7"/>
  <c r="D19" i="7"/>
  <c r="F19" i="7"/>
  <c r="H19" i="7"/>
  <c r="B483" i="14" s="1"/>
  <c r="D44" i="7"/>
  <c r="E44" i="7"/>
  <c r="F44" i="7"/>
  <c r="F66" i="7"/>
  <c r="C68" i="7"/>
  <c r="B744" i="14" s="1"/>
  <c r="D68" i="7"/>
  <c r="E68" i="7"/>
  <c r="F69" i="7"/>
  <c r="F70" i="7"/>
  <c r="F71" i="7"/>
  <c r="F78" i="7"/>
  <c r="F79" i="7"/>
  <c r="C80" i="7"/>
  <c r="B743" i="14" s="1"/>
  <c r="D80" i="7"/>
  <c r="E80" i="7"/>
  <c r="F81" i="7"/>
  <c r="F82" i="7"/>
  <c r="F83" i="7"/>
  <c r="B723" i="14"/>
  <c r="E91" i="7"/>
  <c r="F91" i="7"/>
  <c r="B725" i="14" l="1"/>
  <c r="B494" i="14"/>
  <c r="B714" i="14"/>
  <c r="B712" i="14"/>
  <c r="B770" i="14"/>
  <c r="B705" i="14"/>
  <c r="B718" i="14"/>
  <c r="B493" i="14"/>
  <c r="B430" i="14"/>
  <c r="B721" i="14"/>
  <c r="B720" i="14"/>
  <c r="B769" i="14"/>
  <c r="B453" i="14"/>
  <c r="B492" i="14"/>
  <c r="B432" i="14"/>
  <c r="B429" i="14"/>
  <c r="B433" i="14"/>
  <c r="B747" i="14"/>
  <c r="B495" i="14"/>
  <c r="B746" i="14"/>
  <c r="B713" i="14"/>
  <c r="B443" i="14"/>
  <c r="B722" i="14"/>
  <c r="B708" i="14"/>
  <c r="B711" i="14"/>
  <c r="B475" i="14"/>
  <c r="B719" i="14"/>
  <c r="B706" i="14"/>
  <c r="B748" i="14"/>
  <c r="B717" i="14"/>
  <c r="C73" i="7"/>
  <c r="B745" i="14"/>
  <c r="B431" i="14"/>
  <c r="E85" i="7"/>
  <c r="F84" i="7"/>
  <c r="D85" i="7"/>
  <c r="F80" i="7"/>
  <c r="C85" i="7"/>
  <c r="F72" i="7"/>
  <c r="E73" i="7"/>
  <c r="D73" i="7"/>
  <c r="F68" i="7"/>
  <c r="C23" i="7"/>
  <c r="F14" i="7"/>
  <c r="H14" i="7"/>
  <c r="B504" i="14" s="1"/>
  <c r="C14" i="7"/>
  <c r="D14" i="7"/>
  <c r="B702" i="14" l="1"/>
  <c r="B703" i="14"/>
  <c r="B762" i="14"/>
  <c r="B507" i="14"/>
  <c r="B710" i="14"/>
  <c r="B704" i="14"/>
  <c r="B764" i="14"/>
  <c r="B508" i="14"/>
  <c r="B709" i="14"/>
  <c r="B716" i="14"/>
  <c r="B763" i="14"/>
  <c r="B506" i="14"/>
  <c r="C20" i="7"/>
  <c r="B496" i="14"/>
  <c r="B505" i="14"/>
  <c r="B715" i="14"/>
  <c r="F85" i="7"/>
  <c r="F73" i="7"/>
  <c r="F20" i="7"/>
  <c r="H20" i="7"/>
  <c r="C22" i="7"/>
  <c r="D20" i="7"/>
  <c r="C45" i="5"/>
  <c r="D45" i="5"/>
  <c r="E45" i="5"/>
  <c r="K49" i="4"/>
  <c r="K52" i="4"/>
  <c r="F55" i="1"/>
  <c r="B526" i="14" s="1"/>
  <c r="E55" i="1"/>
  <c r="B525" i="14" s="1"/>
  <c r="F50" i="1"/>
  <c r="B519" i="14" s="1"/>
  <c r="E50" i="1"/>
  <c r="B518" i="14" s="1"/>
  <c r="B701" i="14" l="1"/>
  <c r="C24" i="7"/>
  <c r="B761" i="14"/>
  <c r="B690" i="14"/>
  <c r="B682" i="14"/>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<sst xmlns="http://schemas.openxmlformats.org/spreadsheetml/2006/main" count="2338" uniqueCount="1991">
  <si>
    <t>H. FINANCIAL AID</t>
  </si>
  <si>
    <t>Please refer to the following financial aid definitions when completing Section H.</t>
  </si>
  <si>
    <r>
      <rPr>
        <b/>
        <sz val="10"/>
        <color indexed="8"/>
        <rFont val="Arial"/>
        <family val="2"/>
      </rPr>
      <t>Awarded aid:</t>
    </r>
    <r>
      <rPr>
        <sz val="10"/>
        <color indexed="8"/>
        <rFont val="Arial"/>
        <family val="2"/>
      </rPr>
      <t xml:space="preserve"> The dollar amounts offered to financial aid applicants.</t>
    </r>
  </si>
  <si>
    <r>
      <rPr>
        <b/>
        <sz val="10"/>
        <color indexed="8"/>
        <rFont val="Arial"/>
        <family val="2"/>
      </rPr>
      <t>Financial aid applicant:</t>
    </r>
    <r>
      <rPr>
        <sz val="10"/>
        <color indexed="8"/>
        <rFont val="Arial"/>
        <family val="2"/>
      </rPr>
      <t xml:space="preserve"> Any applicant who submits any one of the institutionally required financial aid applications/forms, such as the FAFSA. </t>
    </r>
  </si>
  <si>
    <r>
      <rPr>
        <b/>
        <sz val="10"/>
        <color indexed="8"/>
        <rFont val="Arial"/>
        <family val="2"/>
      </rPr>
      <t>Indebtedness:</t>
    </r>
    <r>
      <rPr>
        <sz val="10"/>
        <color indexed="8"/>
        <rFont val="Arial"/>
        <family val="2"/>
      </rPr>
      <t xml:space="preserve"> Aggregate dollar amount borrowed through any loan program (federal, state, subsidized, unsubsidized, private, etc.; excluding parent loans) while the student was enrolled at an institution. Student loans co-signed by a parent are assumed to be the responsibility of the student and </t>
    </r>
    <r>
      <rPr>
        <b/>
        <sz val="10"/>
        <color indexed="8"/>
        <rFont val="Arial"/>
        <family val="2"/>
      </rPr>
      <t>should</t>
    </r>
    <r>
      <rPr>
        <sz val="10"/>
        <color indexed="8"/>
        <rFont val="Arial"/>
        <family val="2"/>
      </rPr>
      <t xml:space="preserve"> be included.</t>
    </r>
  </si>
  <si>
    <r>
      <rPr>
        <b/>
        <sz val="10"/>
        <color indexed="8"/>
        <rFont val="Arial"/>
        <family val="2"/>
      </rPr>
      <t>Institutional scholarships and grants:</t>
    </r>
    <r>
      <rPr>
        <sz val="10"/>
        <color indexed="8"/>
        <rFont val="Arial"/>
        <family val="2"/>
      </rPr>
      <t xml:space="preserve"> Endowed scholarships, annual gifts and tuition funded grants for which the institution determines the recipient.</t>
    </r>
  </si>
  <si>
    <r>
      <rPr>
        <b/>
        <sz val="10"/>
        <color indexed="8"/>
        <rFont val="Arial"/>
        <family val="2"/>
      </rPr>
      <t>Financial need:</t>
    </r>
    <r>
      <rPr>
        <sz val="10"/>
        <color indexed="8"/>
        <rFont val="Arial"/>
        <family val="2"/>
      </rPr>
      <t xml:space="preserve"> As determined by your institution using the federal methodology and/or your institution's own standards.</t>
    </r>
  </si>
  <si>
    <r>
      <rPr>
        <b/>
        <sz val="10"/>
        <color indexed="8"/>
        <rFont val="Arial"/>
        <family val="2"/>
      </rPr>
      <t>Need-based aid:</t>
    </r>
    <r>
      <rPr>
        <sz val="10"/>
        <color indexed="8"/>
        <rFont val="Arial"/>
        <family val="2"/>
      </rPr>
      <t xml:space="preserve"> College-funded or college-administered award from institutional, state, federal, or other sources for which a student must have financial need to qualify. This includes both institutional and non-institutional student aid (grants, jobs, and loans).</t>
    </r>
  </si>
  <si>
    <r>
      <rPr>
        <b/>
        <sz val="10"/>
        <color indexed="8"/>
        <rFont val="Arial"/>
        <family val="2"/>
      </rPr>
      <t>Need-based scholarship or grant aid:</t>
    </r>
    <r>
      <rPr>
        <sz val="10"/>
        <color indexed="8"/>
        <rFont val="Arial"/>
        <family val="2"/>
      </rPr>
      <t xml:space="preserve"> Scholarships and grants from institutional, state, federal, or other sources for which a student must have financial need to qualify.</t>
    </r>
  </si>
  <si>
    <r>
      <rPr>
        <b/>
        <sz val="10"/>
        <color indexed="8"/>
        <rFont val="Arial"/>
        <family val="2"/>
      </rPr>
      <t xml:space="preserve">Need-based self-help aid: </t>
    </r>
    <r>
      <rPr>
        <sz val="10"/>
        <color indexed="8"/>
        <rFont val="Arial"/>
        <family val="2"/>
      </rPr>
      <t>Loans and jobs from institutional, state, federal, or other sources for which a student must demonstrate financial need to qualify.</t>
    </r>
  </si>
  <si>
    <r>
      <rPr>
        <b/>
        <sz val="10"/>
        <color indexed="8"/>
        <rFont val="Arial"/>
        <family val="2"/>
      </rPr>
      <t xml:space="preserve">Non-need-based scholarship or grant aid: </t>
    </r>
    <r>
      <rPr>
        <sz val="10"/>
        <color indexed="8"/>
        <rFont val="Arial"/>
        <family val="2"/>
      </rPr>
      <t xml:space="preserve">Scholarships and grants, gifts, or merit-based aid from institutional, state, federal, or other sources (including unrestricted funds or gifts and endowment income) awarded solely on the basis of academic achievement, merit, or any other non-need-based reason. When reporting questions H1 and H2, non-need-based aid that is used to meet need should be counted as need-based aid. </t>
    </r>
  </si>
  <si>
    <t>Note: Suggested order of precedence for counting non-need money as need-based:</t>
  </si>
  <si>
    <t>1. Non-need institutional grants</t>
  </si>
  <si>
    <t>6. Non-need outside grants</t>
  </si>
  <si>
    <t>2. Non-need tuition waivers</t>
  </si>
  <si>
    <t>7. Non-need student loans</t>
  </si>
  <si>
    <t>3. Non-need athletic awards</t>
  </si>
  <si>
    <t>8. Non-need parent loans</t>
  </si>
  <si>
    <t>4. Non-need federal grants</t>
  </si>
  <si>
    <t xml:space="preserve">9. Non-need work
</t>
  </si>
  <si>
    <t>5. Non-need state grants</t>
  </si>
  <si>
    <r>
      <rPr>
        <b/>
        <sz val="10"/>
        <color indexed="8"/>
        <rFont val="Arial"/>
        <family val="2"/>
      </rPr>
      <t>Non-need-based self-help aid:</t>
    </r>
    <r>
      <rPr>
        <sz val="10"/>
        <color indexed="8"/>
        <rFont val="Arial"/>
        <family val="2"/>
      </rPr>
      <t xml:space="preserve"> Loans and jobs from institutional, state, or other sources for which a student need not demonstrate financial need to qualify.</t>
    </r>
  </si>
  <si>
    <r>
      <rPr>
        <b/>
        <sz val="10"/>
        <color indexed="8"/>
        <rFont val="Arial"/>
        <family val="2"/>
      </rPr>
      <t>Private student loans:</t>
    </r>
    <r>
      <rPr>
        <sz val="10"/>
        <color indexed="8"/>
        <rFont val="Arial"/>
        <family val="2"/>
      </rPr>
      <t xml:space="preserve"> A nonfederal loan made by a lender such as a bank, credit union or private lender used to pay for up to the annual cost of education, less any financial aid received.</t>
    </r>
  </si>
  <si>
    <r>
      <rPr>
        <b/>
        <sz val="10"/>
        <color indexed="8"/>
        <rFont val="Arial"/>
        <family val="2"/>
      </rPr>
      <t>External scholarships and grants:</t>
    </r>
    <r>
      <rPr>
        <sz val="10"/>
        <color indexed="8"/>
        <rFont val="Arial"/>
        <family val="2"/>
      </rPr>
      <t xml:space="preserve"> Scholarships and grants received from outside (private) sources that students bring with them (e.g., Kiwanis, National Merit scholarships). The institution may process paperwork to receive the dollars, but it has no role in determining the recipient or the dollar amount awarded.</t>
    </r>
  </si>
  <si>
    <r>
      <rPr>
        <b/>
        <sz val="10"/>
        <color indexed="8"/>
        <rFont val="Arial"/>
        <family val="2"/>
      </rPr>
      <t>Work study and employment:</t>
    </r>
    <r>
      <rPr>
        <sz val="10"/>
        <color indexed="8"/>
        <rFont val="Arial"/>
        <family val="2"/>
      </rPr>
      <t xml:space="preserve"> Federal and state work study aid, and any employment packaged by your institution in financial aid awards.</t>
    </r>
  </si>
  <si>
    <t>DO NOT INCLUDE ANY AID RELATED TO THE CARES ACT OR UNIQUE THE COVID-19 PANDEMIC</t>
  </si>
  <si>
    <t>Aid Awarded to Enrolled Undergraduates</t>
  </si>
  <si>
    <t>H1</t>
  </si>
  <si>
    <r>
      <t xml:space="preserve">Enter total dollar amounts </t>
    </r>
    <r>
      <rPr>
        <b/>
        <sz val="10"/>
        <color indexed="8"/>
        <rFont val="Arial"/>
        <family val="2"/>
      </rPr>
      <t>awarded</t>
    </r>
    <r>
      <rPr>
        <sz val="10"/>
        <color indexed="8"/>
        <rFont val="Arial"/>
        <family val="2"/>
      </rPr>
      <t xml:space="preserve"> to enrolled full-time and less than full-time degree-seeking undergraduates</t>
    </r>
    <r>
      <rPr>
        <b/>
        <sz val="10"/>
        <color indexed="8"/>
        <rFont val="Arial"/>
        <family val="2"/>
      </rPr>
      <t xml:space="preserve"> (using the same cohort reported in CDS Question B1, “total degree-seeking” undergraduates)</t>
    </r>
    <r>
      <rPr>
        <sz val="10"/>
        <color indexed="8"/>
        <rFont val="Arial"/>
        <family val="2"/>
      </rPr>
      <t xml:space="preserve"> in the following categories.</t>
    </r>
  </si>
  <si>
    <t xml:space="preserve">•     Include aid awarded to international students (i.e., those not qualifying for federal aid). </t>
  </si>
  <si>
    <t>•     Aid that is non-need-based but that was used to meet need should be reported in the need-based aid 
      column.</t>
  </si>
  <si>
    <t>•     For a suggested order of precedence in assigning categories of aid to cover need, see the entry for “non-
      need-based scholarship or grant aid” on the last page of the definitions section.</t>
  </si>
  <si>
    <t>•     Do NOT include any aid related to the CARES Act or unique to the COVID-19 pandemic.</t>
  </si>
  <si>
    <r>
      <t xml:space="preserve">Indicate the academic year for which data are reported for </t>
    </r>
    <r>
      <rPr>
        <b/>
        <sz val="10"/>
        <color indexed="8"/>
        <rFont val="Arial"/>
        <family val="2"/>
      </rPr>
      <t>items H1, H2, H2A</t>
    </r>
    <r>
      <rPr>
        <sz val="10"/>
        <color indexed="8"/>
        <rFont val="Arial"/>
        <family val="2"/>
      </rPr>
      <t xml:space="preserve">, and </t>
    </r>
    <r>
      <rPr>
        <b/>
        <sz val="10"/>
        <color indexed="8"/>
        <rFont val="Arial"/>
        <family val="2"/>
      </rPr>
      <t>H6</t>
    </r>
    <r>
      <rPr>
        <sz val="10"/>
        <color indexed="8"/>
        <rFont val="Arial"/>
        <family val="2"/>
      </rPr>
      <t xml:space="preserve"> below:</t>
    </r>
  </si>
  <si>
    <r>
      <t xml:space="preserve">Which needs-analysis methodology does your institution use in awarding institutional aid? </t>
    </r>
    <r>
      <rPr>
        <b/>
        <sz val="10"/>
        <rFont val="Arial"/>
        <family val="2"/>
      </rPr>
      <t>(Formerly H3)</t>
    </r>
  </si>
  <si>
    <t>Federal methodology (FM)</t>
  </si>
  <si>
    <t>Institutional methodology (IM)</t>
  </si>
  <si>
    <t>Both FM and IM</t>
  </si>
  <si>
    <r>
      <t xml:space="preserve">Need-based
</t>
    </r>
    <r>
      <rPr>
        <sz val="10"/>
        <rFont val="Arial"/>
        <family val="2"/>
      </rPr>
      <t>(Include non-need-based aid use to meet need.)</t>
    </r>
  </si>
  <si>
    <r>
      <t xml:space="preserve">Non-need-based
</t>
    </r>
    <r>
      <rPr>
        <sz val="10"/>
        <rFont val="Arial"/>
        <family val="2"/>
      </rPr>
      <t>(Exclude non-need-based aid use to meet need.)</t>
    </r>
  </si>
  <si>
    <t>Scholarships/Grants</t>
  </si>
  <si>
    <t>Need-based</t>
  </si>
  <si>
    <t>Non-need based</t>
  </si>
  <si>
    <t>Federal</t>
  </si>
  <si>
    <r>
      <rPr>
        <b/>
        <sz val="10"/>
        <rFont val="Arial"/>
        <family val="2"/>
      </rPr>
      <t>State</t>
    </r>
    <r>
      <rPr>
        <sz val="10"/>
        <rFont val="Arial"/>
        <family val="2"/>
      </rPr>
      <t xml:space="preserve"> all states, not only the state in which your institution is located</t>
    </r>
  </si>
  <si>
    <r>
      <rPr>
        <b/>
        <sz val="10"/>
        <rFont val="Arial"/>
        <family val="2"/>
      </rPr>
      <t>Institutional:</t>
    </r>
    <r>
      <rPr>
        <sz val="10"/>
        <rFont val="Arial"/>
        <family val="2"/>
      </rPr>
      <t xml:space="preserve"> Endowed scholarships, annual gifts and tuition funded grants, awarded by the college, excluding athletic aid and tuition waivers (which are reported below).</t>
    </r>
  </si>
  <si>
    <r>
      <rPr>
        <b/>
        <sz val="10"/>
        <rFont val="Arial"/>
        <family val="2"/>
      </rPr>
      <t>Scholarships/grants from external sources</t>
    </r>
    <r>
      <rPr>
        <sz val="10"/>
        <rFont val="Arial"/>
        <family val="2"/>
      </rPr>
      <t xml:space="preserve"> (e.g. Kiwanis, National Merit) not awarded by the college</t>
    </r>
  </si>
  <si>
    <t>Total Scholarships/Grants</t>
  </si>
  <si>
    <t>Self-Help</t>
  </si>
  <si>
    <t>Student loans from all sources (excluding parent loans)</t>
  </si>
  <si>
    <t>Federal Work-Study</t>
  </si>
  <si>
    <t>State and other (e.g., institutional) work-study/employment (Note: Excludes Federal Work-Study captured above.)</t>
  </si>
  <si>
    <t>Total Self-Help</t>
  </si>
  <si>
    <t>Parent Loans</t>
  </si>
  <si>
    <r>
      <rPr>
        <b/>
        <sz val="10"/>
        <rFont val="Arial"/>
        <family val="2"/>
      </rPr>
      <t>Tuition Waivers</t>
    </r>
    <r>
      <rPr>
        <sz val="10"/>
        <rFont val="Arial"/>
        <family val="2"/>
      </rPr>
      <t xml:space="preserve">
Note: Reporting is optional. Report tuition waivers in this row if you choose to report them. Do not report tuition waivers elsewhere.</t>
    </r>
  </si>
  <si>
    <t>Athletic Awards</t>
  </si>
  <si>
    <t>H2</t>
  </si>
  <si>
    <r>
      <t xml:space="preserve">Number of Enrolled Students Awarded Aid: </t>
    </r>
    <r>
      <rPr>
        <sz val="10"/>
        <rFont val="Arial"/>
        <family val="2"/>
      </rPr>
      <t>List the number of degree-seeking full-time and less-than-full-time undergraduates who applied for and were awarded financial aid from any source.</t>
    </r>
  </si>
  <si>
    <r>
      <rPr>
        <sz val="10"/>
        <rFont val="Arial"/>
        <family val="2"/>
      </rPr>
      <t>•</t>
    </r>
    <r>
      <rPr>
        <b/>
        <sz val="10"/>
        <rFont val="Arial"/>
        <family val="2"/>
      </rPr>
      <t xml:space="preserve">     Aid that is non-need-based but that was used to meet need should be counted as need-
      based aid.</t>
    </r>
  </si>
  <si>
    <r>
      <rPr>
        <sz val="10"/>
        <rFont val="Arial"/>
        <family val="2"/>
      </rPr>
      <t xml:space="preserve">•     </t>
    </r>
    <r>
      <rPr>
        <u/>
        <sz val="10"/>
        <rFont val="Arial"/>
        <family val="2"/>
      </rPr>
      <t>Numbers should reflect the cohort awarded the dollars reported in H1.</t>
    </r>
  </si>
  <si>
    <t>•     In the chart below, students may be counted in more than one row, and full-time freshmen 
      should also be counted as full-time undergraduates.</t>
  </si>
  <si>
    <r>
      <rPr>
        <sz val="10"/>
        <color rgb="FFFF0000"/>
        <rFont val="Arial"/>
        <family val="2"/>
      </rPr>
      <t>•</t>
    </r>
    <r>
      <rPr>
        <b/>
        <sz val="10"/>
        <color rgb="FFFF0000"/>
        <rFont val="Arial"/>
        <family val="2"/>
      </rPr>
      <t xml:space="preserve">     Do NOT include any aid related to the CARES Act or unique to the COVID-19 pandemic.</t>
    </r>
  </si>
  <si>
    <t>Less Than
Full-time
Undergrad</t>
  </si>
  <si>
    <t>A</t>
  </si>
  <si>
    <t>B</t>
  </si>
  <si>
    <r>
      <t xml:space="preserve">Number of students in line </t>
    </r>
    <r>
      <rPr>
        <b/>
        <sz val="9"/>
        <rFont val="Arial"/>
        <family val="2"/>
      </rPr>
      <t>a</t>
    </r>
    <r>
      <rPr>
        <sz val="9"/>
        <rFont val="Arial"/>
        <family val="2"/>
      </rPr>
      <t xml:space="preserve"> who applied for need-based financial aid</t>
    </r>
  </si>
  <si>
    <t>C</t>
  </si>
  <si>
    <r>
      <t xml:space="preserve">Number of students in line </t>
    </r>
    <r>
      <rPr>
        <b/>
        <sz val="9"/>
        <rFont val="Arial"/>
        <family val="2"/>
      </rPr>
      <t>b</t>
    </r>
    <r>
      <rPr>
        <sz val="9"/>
        <rFont val="Arial"/>
        <family val="2"/>
      </rPr>
      <t xml:space="preserve"> who were determined to have financial need</t>
    </r>
  </si>
  <si>
    <t>D</t>
  </si>
  <si>
    <r>
      <t xml:space="preserve">Number of students in line </t>
    </r>
    <r>
      <rPr>
        <b/>
        <sz val="9"/>
        <rFont val="Arial"/>
        <family val="2"/>
      </rPr>
      <t>c</t>
    </r>
    <r>
      <rPr>
        <sz val="9"/>
        <rFont val="Arial"/>
        <family val="2"/>
      </rPr>
      <t xml:space="preserve"> who were awarded any financial aid</t>
    </r>
  </si>
  <si>
    <t>E</t>
  </si>
  <si>
    <r>
      <t xml:space="preserve">Number of students in line </t>
    </r>
    <r>
      <rPr>
        <b/>
        <sz val="9"/>
        <rFont val="Arial"/>
        <family val="2"/>
      </rPr>
      <t>d</t>
    </r>
    <r>
      <rPr>
        <sz val="9"/>
        <rFont val="Arial"/>
        <family val="2"/>
      </rPr>
      <t xml:space="preserve"> who were awarded any need-based scholarship or grant aid</t>
    </r>
  </si>
  <si>
    <t>F</t>
  </si>
  <si>
    <r>
      <t xml:space="preserve">Number of students in line </t>
    </r>
    <r>
      <rPr>
        <b/>
        <sz val="9"/>
        <rFont val="Arial"/>
        <family val="2"/>
      </rPr>
      <t>d</t>
    </r>
    <r>
      <rPr>
        <sz val="9"/>
        <rFont val="Arial"/>
        <family val="2"/>
      </rPr>
      <t xml:space="preserve"> who were awarded any need-based self-help aid</t>
    </r>
  </si>
  <si>
    <t>G</t>
  </si>
  <si>
    <r>
      <t xml:space="preserve">Number of students in line </t>
    </r>
    <r>
      <rPr>
        <b/>
        <sz val="9"/>
        <rFont val="Arial"/>
        <family val="2"/>
      </rPr>
      <t>d</t>
    </r>
    <r>
      <rPr>
        <sz val="9"/>
        <rFont val="Arial"/>
        <family val="2"/>
      </rPr>
      <t xml:space="preserve"> who were awarded any non-need-based scholarship or grant aid</t>
    </r>
  </si>
  <si>
    <t>H</t>
  </si>
  <si>
    <r>
      <t xml:space="preserve">Number of students in line </t>
    </r>
    <r>
      <rPr>
        <b/>
        <sz val="9"/>
        <rFont val="Arial"/>
        <family val="2"/>
      </rPr>
      <t>d</t>
    </r>
    <r>
      <rPr>
        <sz val="9"/>
        <rFont val="Arial"/>
        <family val="2"/>
      </rPr>
      <t xml:space="preserve"> whose need was fully met (</t>
    </r>
    <r>
      <rPr>
        <u/>
        <sz val="9"/>
        <rFont val="Arial"/>
        <family val="2"/>
      </rPr>
      <t>exclude PLUS loans, unsubsidized loans, and private alternative loans</t>
    </r>
    <r>
      <rPr>
        <sz val="9"/>
        <rFont val="Arial"/>
        <family val="2"/>
      </rPr>
      <t>)</t>
    </r>
  </si>
  <si>
    <t>I</t>
  </si>
  <si>
    <r>
      <t xml:space="preserve">On average, the percentage of need that was met of students who were awarded any need-based aid. Exclude any aid that was awarded in excess of need as well as any resources that were awarded to replace EFC </t>
    </r>
    <r>
      <rPr>
        <u/>
        <sz val="9"/>
        <rFont val="Arial"/>
        <family val="2"/>
      </rPr>
      <t>(PLUS loans, unsubsidized loans, and private alternative loans)</t>
    </r>
  </si>
  <si>
    <t>J</t>
  </si>
  <si>
    <r>
      <t xml:space="preserve">The average financial aid package of those in line </t>
    </r>
    <r>
      <rPr>
        <b/>
        <sz val="9"/>
        <rFont val="Arial"/>
        <family val="2"/>
      </rPr>
      <t>d</t>
    </r>
    <r>
      <rPr>
        <sz val="9"/>
        <rFont val="Arial"/>
        <family val="2"/>
      </rPr>
      <t xml:space="preserve">. Exclude any resources that were awarded to replace EFC </t>
    </r>
    <r>
      <rPr>
        <u/>
        <sz val="9"/>
        <rFont val="Arial"/>
        <family val="2"/>
      </rPr>
      <t>(PLUS loans, unsubsidized loans, and private alternative loans)</t>
    </r>
  </si>
  <si>
    <t>K</t>
  </si>
  <si>
    <r>
      <t>Average need-based scholarship and grant award of those in line</t>
    </r>
    <r>
      <rPr>
        <b/>
        <sz val="9"/>
        <rFont val="Arial"/>
        <family val="2"/>
      </rPr>
      <t xml:space="preserve"> e</t>
    </r>
  </si>
  <si>
    <t>L</t>
  </si>
  <si>
    <r>
      <t>Average need-based self-help award (</t>
    </r>
    <r>
      <rPr>
        <u/>
        <sz val="9"/>
        <rFont val="Arial"/>
        <family val="2"/>
      </rPr>
      <t>excluding PLUS loans, unsubsidized loans, and private alternative loans</t>
    </r>
    <r>
      <rPr>
        <sz val="9"/>
        <rFont val="Arial"/>
        <family val="2"/>
      </rPr>
      <t xml:space="preserve">) of those in line </t>
    </r>
    <r>
      <rPr>
        <b/>
        <sz val="9"/>
        <rFont val="Arial"/>
        <family val="2"/>
      </rPr>
      <t>f</t>
    </r>
  </si>
  <si>
    <t>M</t>
  </si>
  <si>
    <r>
      <t>Average need-based loan (</t>
    </r>
    <r>
      <rPr>
        <u/>
        <sz val="9"/>
        <rFont val="Arial"/>
        <family val="2"/>
      </rPr>
      <t>excluding PLUS loans, unsubsidized loans, and private alternative loans</t>
    </r>
    <r>
      <rPr>
        <sz val="9"/>
        <rFont val="Arial"/>
        <family val="2"/>
      </rPr>
      <t>) of those in line</t>
    </r>
    <r>
      <rPr>
        <b/>
        <sz val="9"/>
        <rFont val="Arial"/>
        <family val="2"/>
      </rPr>
      <t xml:space="preserve"> f </t>
    </r>
    <r>
      <rPr>
        <sz val="9"/>
        <rFont val="Arial"/>
        <family val="2"/>
      </rPr>
      <t>who were awarded a need-based loan</t>
    </r>
  </si>
  <si>
    <t>H2A</t>
  </si>
  <si>
    <r>
      <t xml:space="preserve">Number of Enrolled Students Awarded Non-need-based Scholarships and Grants: </t>
    </r>
    <r>
      <rPr>
        <sz val="10"/>
        <rFont val="Arial"/>
        <family val="2"/>
      </rPr>
      <t>List the number of degree-seeking full-time and less-than-full-time undergraduates who had no financial need and who were awarded institutional non-need-based scholarship or grant aid.</t>
    </r>
  </si>
  <si>
    <t>•     Numbers should reflect the cohort awarded the dollars reported in H1.</t>
  </si>
  <si>
    <t>•     In the chart below, students may be counted in more than one row, and full-time freshmen should also be 
      counted as full-time undergraduates.</t>
  </si>
  <si>
    <t>N</t>
  </si>
  <si>
    <r>
      <t xml:space="preserve">Number of students in line </t>
    </r>
    <r>
      <rPr>
        <b/>
        <sz val="9"/>
        <rFont val="Arial"/>
        <family val="2"/>
      </rPr>
      <t>a</t>
    </r>
    <r>
      <rPr>
        <sz val="9"/>
        <rFont val="Arial"/>
        <family val="2"/>
      </rPr>
      <t xml:space="preserve"> who had no financial need and who were awarded institutional non-need-based scholarship or grant aid (exclude those who were awarded athletic awards and tuition benefits)</t>
    </r>
  </si>
  <si>
    <t>O</t>
  </si>
  <si>
    <r>
      <t xml:space="preserve">Average dollar amount of institutional non-need-based scholarship and grant aid awarded to students in line </t>
    </r>
    <r>
      <rPr>
        <b/>
        <sz val="9"/>
        <rFont val="Arial"/>
        <family val="2"/>
      </rPr>
      <t>n</t>
    </r>
  </si>
  <si>
    <t>P</t>
  </si>
  <si>
    <r>
      <t xml:space="preserve">Number of students in line </t>
    </r>
    <r>
      <rPr>
        <b/>
        <sz val="9"/>
        <rFont val="Arial"/>
        <family val="2"/>
      </rPr>
      <t>a</t>
    </r>
    <r>
      <rPr>
        <sz val="9"/>
        <rFont val="Arial"/>
        <family val="2"/>
      </rPr>
      <t xml:space="preserve"> who were awarded an institutional non-need-based athletic scholarship or grant</t>
    </r>
  </si>
  <si>
    <t>Q</t>
  </si>
  <si>
    <r>
      <t xml:space="preserve">Average dollar amount of institutional non-need-based athletic scholarships and grants awarded to students in line </t>
    </r>
    <r>
      <rPr>
        <b/>
        <sz val="9"/>
        <rFont val="Arial"/>
        <family val="2"/>
      </rPr>
      <t>p</t>
    </r>
  </si>
  <si>
    <t xml:space="preserve">Note: These are the graduates and loan types to include and exclude in order to fill out CDS H4 and H5. </t>
  </si>
  <si>
    <t>Include:</t>
  </si>
  <si>
    <t>•     Only loans made to students who borrowed while enrolled at your institution.</t>
  </si>
  <si>
    <t>•     Co-signed loans.</t>
  </si>
  <si>
    <t>Exclude</t>
  </si>
  <si>
    <t>•     Students who transferred in.</t>
  </si>
  <si>
    <t>•     Money borrowed at other institutions.</t>
  </si>
  <si>
    <t>•     Parent loans</t>
  </si>
  <si>
    <t>•     Students who did not graduate or who graduated with another degree or certificate (but no 
      bachelor’s degree).</t>
  </si>
  <si>
    <r>
      <rPr>
        <sz val="10"/>
        <color rgb="FFFF0000"/>
        <rFont val="Arial"/>
        <family val="2"/>
      </rPr>
      <t>•</t>
    </r>
    <r>
      <rPr>
        <sz val="10"/>
        <rFont val="Arial"/>
        <family val="2"/>
      </rPr>
      <t xml:space="preserve">     </t>
    </r>
    <r>
      <rPr>
        <b/>
        <sz val="10"/>
        <color rgb="FFFF0000"/>
        <rFont val="Arial"/>
        <family val="2"/>
      </rPr>
      <t>Any aid related to the CARE Act or unique the COVID-19 pandemic.</t>
    </r>
  </si>
  <si>
    <t>H4</t>
  </si>
  <si>
    <t>H5. Number and percent of students in class (defined in H4 above) borrowing from federal, non-federal, and any loan sources, and the average (or mean) amount borrowed.</t>
  </si>
  <si>
    <t xml:space="preserve">•     The “Average per-undergraduate-borrower cumulative principal borrowed,” is designed to provide better 
      information about student borrowing from federal and nonfederal (institutional, state, commercial) sources. </t>
  </si>
  <si>
    <t xml:space="preserve">•    The numbers, percentages, and averages for each row should be based only on the loan source specified for 
      the particular row. For example, the federal loans average (row b) should only be the cumulative average of 
      federal loans and the private loans average (row e) should only be the cumulative average of private loans. </t>
  </si>
  <si>
    <t>Source/Type of Loan</t>
  </si>
  <si>
    <t>Number in the class (defined in H4 above) who borrowed from the types of loans specified in the first column</t>
  </si>
  <si>
    <t>Percent of the class (defined above) who borrowed from the types of loans specified in the first column (nearest 1%)</t>
  </si>
  <si>
    <t>Average per-undergraduate-borrower cumulative principal borrowed from the types of loans specified in the first column (nearest $1)</t>
  </si>
  <si>
    <t>Any loan program: Federal Perkins, Federal Stafford Subsidized and Unsubsidized, institutional, state, private loans that your institution is aware of, etc. Include both Federal Direct Student Loans and Federal Family Education Loans.</t>
  </si>
  <si>
    <t>Federal loan programs: Federal Perkins, Federal Stafford Subsidized and Unsubsidized. Include both Federal Direct Student Loans and Federal Family Education Loans.</t>
  </si>
  <si>
    <t>Institutional loan programs.</t>
  </si>
  <si>
    <t>State loan programs.</t>
  </si>
  <si>
    <t>Private student loans made by a bank or lender.</t>
  </si>
  <si>
    <t>Aid to Undergraduate Degree-seeking Nonresident Aliens</t>
  </si>
  <si>
    <t>•     Report numbers and dollar amounts for the same academic year checked in item H1</t>
  </si>
  <si>
    <t>H6</t>
  </si>
  <si>
    <t>Indicate your institution’s policy regarding institutional scholarship and grant aid for undergraduate degree-seeking nonresident aliens:</t>
  </si>
  <si>
    <t>Institutional need-based scholarship or grant aid is available</t>
  </si>
  <si>
    <t>Institutional non-need-based scholarship or grant aid is available</t>
  </si>
  <si>
    <t>Institutional scholarship or grant aid is not available</t>
  </si>
  <si>
    <t>If institutional financial aid is available for undergraduate degree-seeking nonresident aliens, provide the number of undergraduate degree-seeking nonresident aliens who were awarded need-based or non-need-based aid:</t>
  </si>
  <si>
    <t>Average dollar amount of institutional financial aid awarded to undergraduate degree-seeking nonresident aliens:</t>
  </si>
  <si>
    <t>Total dollar amount of institutional financial aid awarded to undergraduate degree-seeking nonresident aliens:</t>
  </si>
  <si>
    <t>H7</t>
  </si>
  <si>
    <t>Check off all financial aid forms nonresident alien first-year financial aid applicants must submit:</t>
  </si>
  <si>
    <t>Institution’s own financial aid form</t>
  </si>
  <si>
    <t>CSS/Financial Aid PROFILE</t>
  </si>
  <si>
    <t>International Student’s Financial Aid Application</t>
  </si>
  <si>
    <t>International Student’s Certification of Finances</t>
  </si>
  <si>
    <t>Other (specify):</t>
  </si>
  <si>
    <t>Process for First-Year/Freshman Students</t>
  </si>
  <si>
    <t>H8</t>
  </si>
  <si>
    <t>Check off all financial aid forms domestic first-year (freshman) financial aid applicants must submit:</t>
  </si>
  <si>
    <t>FAFSA</t>
  </si>
  <si>
    <t>Institution's own financial aid form</t>
  </si>
  <si>
    <t>State aid form</t>
  </si>
  <si>
    <t>Noncustodial PROFILE</t>
  </si>
  <si>
    <t>Business/Farm Supplement</t>
  </si>
  <si>
    <t>H9</t>
  </si>
  <si>
    <t>Indicate filing dates for first-year (freshman) students:</t>
  </si>
  <si>
    <t>Priority date for filing required financial aid forms:</t>
  </si>
  <si>
    <t>Deadline for filing required financial aid forms:</t>
  </si>
  <si>
    <t>No deadline for filing required forms (applications processed on a rolling basis)</t>
  </si>
  <si>
    <t>H10</t>
  </si>
  <si>
    <t>Indicate notification dates for first-year (freshman) students (answer a or b):</t>
  </si>
  <si>
    <t xml:space="preserve">a) Students notified on or about (date): </t>
  </si>
  <si>
    <t>b) Students notified on a rolling basis:</t>
  </si>
  <si>
    <t>No</t>
  </si>
  <si>
    <t>If yes, starting date:</t>
  </si>
  <si>
    <t>H11</t>
  </si>
  <si>
    <t>Indicate reply dates:</t>
  </si>
  <si>
    <t xml:space="preserve">Students must reply by (date): </t>
  </si>
  <si>
    <t>or within _______ weeks of notification.</t>
  </si>
  <si>
    <t>Types of Aid Available</t>
  </si>
  <si>
    <t>Please check off all types of aid available to undergraduates at your institution:</t>
  </si>
  <si>
    <t>H12</t>
  </si>
  <si>
    <t>Loans</t>
  </si>
  <si>
    <t>Direct Subsidized Stafford Loans</t>
  </si>
  <si>
    <t>Direct Unsubsidized Stafford Loans</t>
  </si>
  <si>
    <t>Direct PLUS Loans</t>
  </si>
  <si>
    <t>Federal Perkins Loans</t>
  </si>
  <si>
    <t>Federal Nursing Loans</t>
  </si>
  <si>
    <t>State Loans</t>
  </si>
  <si>
    <t>College/university loans from institutional funds</t>
  </si>
  <si>
    <t>H13</t>
  </si>
  <si>
    <t>Need Based Scholarships and Grants</t>
  </si>
  <si>
    <t>Federal Pell</t>
  </si>
  <si>
    <t>SEOG</t>
  </si>
  <si>
    <t>State scholarships/grants</t>
  </si>
  <si>
    <t>Private scholarships</t>
  </si>
  <si>
    <t>College/university scholarship or grant aid from institutional funds</t>
  </si>
  <si>
    <t>United Negro College Fund</t>
  </si>
  <si>
    <t>Federal Nursing Scholarship</t>
  </si>
  <si>
    <t>H14</t>
  </si>
  <si>
    <t>Check off criteria used in awarding institutional aid. Check all that apply.</t>
  </si>
  <si>
    <t>Non-Need Based</t>
  </si>
  <si>
    <t>Need-Based</t>
  </si>
  <si>
    <t>Academics</t>
  </si>
  <si>
    <t>Alumni affiliation</t>
  </si>
  <si>
    <t>Art</t>
  </si>
  <si>
    <t>Athletics</t>
  </si>
  <si>
    <t>Job skills</t>
  </si>
  <si>
    <t>ROTC</t>
  </si>
  <si>
    <t>Leadership</t>
  </si>
  <si>
    <t>Minority status</t>
  </si>
  <si>
    <t>Music/drama</t>
  </si>
  <si>
    <t>Religious affiliation</t>
  </si>
  <si>
    <t>State/district residency</t>
  </si>
  <si>
    <t>H15</t>
  </si>
  <si>
    <t>If your institution has recently implemented any major financial aid policy, program, or initiative to make your institution more affordable to incoming students such as replacing loans with grants, or waiving costs for families below a certain income level please provide details below:</t>
  </si>
  <si>
    <t>Are these policies related to the COVID-19 pandemic?</t>
  </si>
  <si>
    <t>Answer</t>
  </si>
  <si>
    <t>Other</t>
  </si>
  <si>
    <t>Fall 2021 Student to Faculty ratio</t>
  </si>
  <si>
    <t>CLASS SUB-SECTIONS</t>
  </si>
  <si>
    <t>Total</t>
  </si>
  <si>
    <t>100+</t>
  </si>
  <si>
    <t>50-99</t>
  </si>
  <si>
    <t>40-49</t>
  </si>
  <si>
    <t>30-39</t>
  </si>
  <si>
    <t>20-29</t>
  </si>
  <si>
    <t>10-19</t>
  </si>
  <si>
    <t>2-9</t>
  </si>
  <si>
    <t>CLASS SECTIONS</t>
  </si>
  <si>
    <t>Undergraduate Class Size (provide numbers)</t>
  </si>
  <si>
    <t>Number of Class Sections with Undergraduates Enrolled</t>
  </si>
  <si>
    <r>
      <t xml:space="preserve">Class Subsections:  </t>
    </r>
    <r>
      <rPr>
        <sz val="10"/>
        <rFont val="Arial"/>
        <family val="2"/>
      </rPr>
      <t>A class subsection includes any subsection of a course, such as laboratory, recitation, and discussion subsections that are supplementary in nature and are scheduled to meet separately from the lecture portion of the course. Undergraduate subsections are defined as any subsections of courses in which degree-seeking undergraduate students enrolled for credit. As above, exclude noncredit classes and individual instruction such as dissertation or thesis research, music instruction, or one-to-one readings. Each class subsection should be counted only once and should not be duplicated because of cross-listings.</t>
    </r>
  </si>
  <si>
    <r>
      <t xml:space="preserve">Class Sections:  </t>
    </r>
    <r>
      <rPr>
        <sz val="10"/>
        <rFont val="Arial"/>
        <family val="2"/>
      </rPr>
      <t xml:space="preserve">A class section is an organized course offered for credit, identified by discipline and number, meeting at a stated time or times in a classroom or similar setting, and not a subsection such as a laboratory or discussion session. Undergraduate class sections are defined as any sections in which at least one degree-seeking undergraduate student is enrolled for credit. Exclude distance learning classes and noncredit classes and individual instruction such as dissertation or thesis research, music instruction, or one-to-one readings. Exclude students in independent study, co-operative programs, internships, foreign language taped tutor sessions, practicums, and all students in one-on-one classes. Each class section </t>
    </r>
    <r>
      <rPr>
        <sz val="10"/>
        <color rgb="FFFF0000"/>
        <rFont val="Arial"/>
        <family val="2"/>
      </rPr>
      <t>should</t>
    </r>
    <r>
      <rPr>
        <sz val="10"/>
        <rFont val="Arial"/>
        <family val="2"/>
      </rPr>
      <t xml:space="preserve"> be counted only once and should not be duplicated because of course catalog cross-listings.</t>
    </r>
  </si>
  <si>
    <t>•     Please include classes that have been moved online in response to the COVID-19 pandemic.</t>
  </si>
  <si>
    <t>Undergraduate Class Size</t>
  </si>
  <si>
    <t xml:space="preserve">I-3. </t>
  </si>
  <si>
    <t>faculty).</t>
  </si>
  <si>
    <t>and</t>
  </si>
  <si>
    <t>students</t>
  </si>
  <si>
    <t>(based on</t>
  </si>
  <si>
    <t>to 1</t>
  </si>
  <si>
    <t>• Do not count undergraduate or graduate student teaching assistants as faculty.</t>
  </si>
  <si>
    <t>Student to Faculty Ratio</t>
  </si>
  <si>
    <t>I-2.</t>
  </si>
  <si>
    <t>Total number in stand-alone graduate/professional programs in which faculty teach virtually only graduate-level students</t>
  </si>
  <si>
    <r>
      <t xml:space="preserve">Total number whose highest degree is unknown or other (Note: Items </t>
    </r>
    <r>
      <rPr>
        <b/>
        <sz val="10"/>
        <rFont val="Arial"/>
        <family val="2"/>
      </rPr>
      <t>f</t>
    </r>
    <r>
      <rPr>
        <sz val="10"/>
        <rFont val="Arial"/>
        <family val="2"/>
      </rPr>
      <t xml:space="preserve">, </t>
    </r>
    <r>
      <rPr>
        <b/>
        <sz val="10"/>
        <rFont val="Arial"/>
        <family val="2"/>
      </rPr>
      <t>g</t>
    </r>
    <r>
      <rPr>
        <sz val="10"/>
        <rFont val="Arial"/>
        <family val="2"/>
      </rPr>
      <t xml:space="preserve">, </t>
    </r>
    <r>
      <rPr>
        <b/>
        <sz val="10"/>
        <rFont val="Arial"/>
        <family val="2"/>
      </rPr>
      <t>h</t>
    </r>
    <r>
      <rPr>
        <sz val="10"/>
        <rFont val="Arial"/>
        <family val="2"/>
      </rPr>
      <t xml:space="preserve">, and </t>
    </r>
    <r>
      <rPr>
        <b/>
        <sz val="10"/>
        <rFont val="Arial"/>
        <family val="2"/>
      </rPr>
      <t>i</t>
    </r>
    <r>
      <rPr>
        <sz val="10"/>
        <rFont val="Arial"/>
        <family val="2"/>
      </rPr>
      <t xml:space="preserve"> must sum up to item </t>
    </r>
    <r>
      <rPr>
        <b/>
        <sz val="10"/>
        <rFont val="Arial"/>
        <family val="2"/>
      </rPr>
      <t>a</t>
    </r>
    <r>
      <rPr>
        <sz val="10"/>
        <rFont val="Arial"/>
        <family val="2"/>
      </rPr>
      <t>.)</t>
    </r>
  </si>
  <si>
    <t>Total number whose highest degree is a bachelor’s</t>
  </si>
  <si>
    <t>Total number whose highest degree is a master’s but not a terminal master’s</t>
  </si>
  <si>
    <t>Total number with doctorate, or other terminal degree</t>
  </si>
  <si>
    <t>Total number who are nonresident aliens (international)</t>
  </si>
  <si>
    <t>Total number who are men</t>
  </si>
  <si>
    <t>Total number who are women</t>
  </si>
  <si>
    <t>Total number who are members of minority groups</t>
  </si>
  <si>
    <t>Total number of instructional faculty</t>
  </si>
  <si>
    <t>Part-Time</t>
  </si>
  <si>
    <t>Full-Time</t>
  </si>
  <si>
    <t>I-1.</t>
  </si>
  <si>
    <r>
      <rPr>
        <b/>
        <i/>
        <sz val="9"/>
        <rFont val="Arial"/>
        <family val="2"/>
      </rPr>
      <t xml:space="preserve">Terminal master’s degree: </t>
    </r>
    <r>
      <rPr>
        <sz val="9"/>
        <rFont val="Arial"/>
        <family val="2"/>
      </rPr>
      <t>a master’s degree that is considered the highest degree in a field: example, M. Arch (in architecture) and MFA (master of fine arts in art or theater).</t>
    </r>
  </si>
  <si>
    <r>
      <rPr>
        <b/>
        <i/>
        <sz val="9"/>
        <rFont val="Arial"/>
        <family val="2"/>
      </rPr>
      <t xml:space="preserve">Doctorate: </t>
    </r>
    <r>
      <rPr>
        <sz val="9"/>
        <rFont val="Arial"/>
        <family val="2"/>
      </rPr>
      <t xml:space="preserve">includes such degrees as Doctor of Philosophy, Doctor of Education, Doctor of Juridical Science, and Doctor of Public Health in any field such as arts, sciences, education, engineering, business, and public administration. Also includes terminal degrees formerly designated as “first professional,” including dentistry (DDS or DMD), medicine (MD), optometry (OD), osteopathic medicine (DO), pharmacy (DPharm or BPharm), podiatric medicine (DPM), veterinary medicine (DVM), chiropractic (DC or DCM), or law (JD).  </t>
    </r>
  </si>
  <si>
    <r>
      <rPr>
        <b/>
        <i/>
        <sz val="9"/>
        <rFont val="Arial"/>
        <family val="2"/>
      </rPr>
      <t>Minority faculty:</t>
    </r>
    <r>
      <rPr>
        <i/>
        <sz val="9"/>
        <rFont val="Arial"/>
        <family val="2"/>
      </rPr>
      <t xml:space="preserve"> </t>
    </r>
    <r>
      <rPr>
        <sz val="9"/>
        <rFont val="Arial"/>
        <family val="2"/>
      </rPr>
      <t xml:space="preserve">includes faculty who designate themselves as Black, non-Hispanic; American Indian or Alaska Native; Asian, Native Hawaiian or other Pacific Islander, or Hispanic. </t>
    </r>
  </si>
  <si>
    <r>
      <rPr>
        <b/>
        <i/>
        <sz val="9"/>
        <rFont val="Arial"/>
        <family val="2"/>
      </rPr>
      <t>Part-time instructional faculty:</t>
    </r>
    <r>
      <rPr>
        <i/>
        <sz val="9"/>
        <rFont val="Arial"/>
        <family val="2"/>
      </rPr>
      <t xml:space="preserve"> </t>
    </r>
    <r>
      <rPr>
        <sz val="9"/>
        <rFont val="Arial"/>
        <family val="2"/>
      </rPr>
      <t>Adjuncts and other instructors being paid solely for part-time classroom instruction. Also includes full-time faculty teaching less than two semesters, three quarters, two trimesters, or two four-month sessions. Employees who are not considered full-time instruction faculty but who teach one or more non-clinical credit courses may be counted as part-time faculty.</t>
    </r>
  </si>
  <si>
    <r>
      <rPr>
        <b/>
        <i/>
        <sz val="9"/>
        <rFont val="Arial"/>
        <family val="2"/>
      </rPr>
      <t>Full-time instructional faculty:</t>
    </r>
    <r>
      <rPr>
        <i/>
        <sz val="9"/>
        <rFont val="Arial"/>
        <family val="2"/>
      </rPr>
      <t xml:space="preserve"> </t>
    </r>
    <r>
      <rPr>
        <sz val="9"/>
        <rFont val="Arial"/>
        <family val="2"/>
      </rPr>
      <t>faculty employed on a full-time basis for instruction (including those with released time for research)</t>
    </r>
  </si>
  <si>
    <t>Include</t>
  </si>
  <si>
    <t>Replacement faculty for faculty on sabbatical leave or leave with pay</t>
  </si>
  <si>
    <t>Faculty on leave without pay</t>
  </si>
  <si>
    <t>Faculty on sabbatical or leave with pay</t>
  </si>
  <si>
    <t>Undergraduate or graduate students who assist in the instruction of courses, but have titles such as teaching assistant, teaching fellow, and the like</t>
  </si>
  <si>
    <t>Other administrators/staff who teach one or more non-clinical credit courses even though they do not have faculty status</t>
  </si>
  <si>
    <t>Include if they teach one or more non-clinical credit courses</t>
  </si>
  <si>
    <t>Administrative officers with titles such as dean of students, librarian, registrar, coach, and the like, even though they may devote part of their time to classroom instruction and may have faculty status</t>
  </si>
  <si>
    <t>Include only if they teach one or more non-clinical credit courses</t>
  </si>
  <si>
    <t>Instructional faculty in preclinical and clinical medicine, faculty who are not paid (e.g., those who donate their services or are in the military), or research-only faculty, post-doctoral fellows, or pre-doctoral fellows</t>
  </si>
  <si>
    <t>Part-time</t>
  </si>
  <si>
    <t>Full-time</t>
  </si>
  <si>
    <t>The following definition of full-time instructional faculty is used by the American Association of University Professors (AAUP) in its annual Faculty Compensation Survey (the part time definitions are not used by AAUP). Instructional Faculty is defined as those members of the instructional-research staff whose major regular assignment is instruction, including those with released time for research. Use the chart below to determine inclusions and exclusions:</t>
  </si>
  <si>
    <t>I. INSTRUCTIONAL FACULTY AND CLASS SIZE</t>
  </si>
  <si>
    <t>TOTAL (should = 100%)</t>
  </si>
  <si>
    <t>History</t>
  </si>
  <si>
    <t>Business/marketing</t>
  </si>
  <si>
    <t>Health professions and related programs</t>
  </si>
  <si>
    <t>Visual and performing arts</t>
  </si>
  <si>
    <t>Transportation and materials moving</t>
  </si>
  <si>
    <t>Precision production</t>
  </si>
  <si>
    <t>Mechanic and repair technologies</t>
  </si>
  <si>
    <t>Construction trades</t>
  </si>
  <si>
    <t xml:space="preserve">Social sciences </t>
  </si>
  <si>
    <t>Public administration and social services</t>
  </si>
  <si>
    <t>Homeland Security, law enforcement, firefighting, and protective services</t>
  </si>
  <si>
    <t>Psychology</t>
  </si>
  <si>
    <t>Science technologies</t>
  </si>
  <si>
    <t>Physical sciences</t>
  </si>
  <si>
    <t>Theology and religious vocations</t>
  </si>
  <si>
    <t>Philosophy and religious studies</t>
  </si>
  <si>
    <t>Parks and recreation</t>
  </si>
  <si>
    <t>Interdisciplinary studies</t>
  </si>
  <si>
    <t>28 &amp; 29</t>
  </si>
  <si>
    <t>Military science and military technologies</t>
  </si>
  <si>
    <t>Mathematics and statistics</t>
  </si>
  <si>
    <t>Biological/life sciences</t>
  </si>
  <si>
    <t>Library science</t>
  </si>
  <si>
    <t>Liberal arts/general studies</t>
  </si>
  <si>
    <t>English</t>
  </si>
  <si>
    <t>Law/legal studies</t>
  </si>
  <si>
    <t>Family and consumer sciences</t>
  </si>
  <si>
    <t>Foreign languages, literatures, and linguistics</t>
  </si>
  <si>
    <t>Engineering technologies</t>
  </si>
  <si>
    <t>Engineering</t>
  </si>
  <si>
    <t>Education</t>
  </si>
  <si>
    <t>Personal and culinary services</t>
  </si>
  <si>
    <t>Computer and information sciences</t>
  </si>
  <si>
    <t>Communication technologies</t>
  </si>
  <si>
    <t>09</t>
  </si>
  <si>
    <t>Communication/journalism</t>
  </si>
  <si>
    <t>05</t>
  </si>
  <si>
    <t>Area, ethnic, and gender studies</t>
  </si>
  <si>
    <t>04</t>
  </si>
  <si>
    <t>Architecture</t>
  </si>
  <si>
    <t>03</t>
  </si>
  <si>
    <t>Natural resources and conservation</t>
  </si>
  <si>
    <t>01</t>
  </si>
  <si>
    <t>Agriculture</t>
  </si>
  <si>
    <t>CIP 2020 Categories to Include</t>
  </si>
  <si>
    <t>Bachelor’s</t>
  </si>
  <si>
    <t>Associate</t>
  </si>
  <si>
    <t>Diploma/Certificates</t>
  </si>
  <si>
    <t>Category</t>
  </si>
  <si>
    <t>For each of the following discipline areas, provide the percentage of diplomas/certificates, associate, and bachelor’s degrees awarded. To determine the percentage, use majors, not headcount (e.g., students with one degree but a double major will be represented twice). Calculate the percentage from your institution’s IPEDS Completions by using the sum of 1st and 2nd majors for each CIP code as the numerator and the sum of the Grand Total by 1st Majors and the Grand Total by 2nd major as the denominator. If you prefer, you can compute the percentages using 1st majors only.</t>
  </si>
  <si>
    <t>J1</t>
  </si>
  <si>
    <t>J. Disciplinary areas of DEGREES CONFERRED</t>
  </si>
  <si>
    <t>B22</t>
  </si>
  <si>
    <t>* Death
* Permanent Disability
* Service in the armed forces
* Foreign aid service of the federal government
* Official church missions
* No other adjustments to the initial cohort should be made.</t>
  </si>
  <si>
    <t xml:space="preserve">•      The initial cohort may be adjusted for students who departed for the following reasons:
</t>
  </si>
  <si>
    <t>B22. Retention Rates</t>
  </si>
  <si>
    <t>Total transfers to four-year institutions:</t>
  </si>
  <si>
    <t>B21</t>
  </si>
  <si>
    <t>Total transfers to two-year institutions:</t>
  </si>
  <si>
    <t>B20</t>
  </si>
  <si>
    <t>Total transfers-out (within three years) to other institutions:</t>
  </si>
  <si>
    <t>B19</t>
  </si>
  <si>
    <t>Completers of programs of at least two but less than four-years within 150 percent of normal time:</t>
  </si>
  <si>
    <t>B18</t>
  </si>
  <si>
    <t>Completers of programs of at least two but less than four years (total):</t>
  </si>
  <si>
    <t>B17</t>
  </si>
  <si>
    <t>Completers of programs of less than two years within 150 percent of normal time:</t>
  </si>
  <si>
    <t>B16</t>
  </si>
  <si>
    <t>Completers of programs of less than two years duration (total):</t>
  </si>
  <si>
    <t>B15</t>
  </si>
  <si>
    <t>Final cohort, after adjusting for allowable exclusions:</t>
  </si>
  <si>
    <t>B14</t>
  </si>
  <si>
    <r>
      <rPr>
        <sz val="9"/>
        <rFont val="Arial"/>
        <family val="2"/>
      </rPr>
      <t xml:space="preserve">Of the initial cohort, how many did not persist and did not graduate for the following reasons: </t>
    </r>
    <r>
      <rPr>
        <sz val="8"/>
        <rFont val="Arial"/>
        <family val="2"/>
      </rPr>
      <t xml:space="preserve">
• Death
• Permanently Disability
• Service in the armed forces, 
• Foreign aid service of the federal government
• Official church missions
• Report total allowable exclusions</t>
    </r>
  </si>
  <si>
    <t>B13</t>
  </si>
  <si>
    <t>Initial cohort, total of first-time, full-time degree/certificate-seeking students:</t>
  </si>
  <si>
    <t>B12</t>
  </si>
  <si>
    <t>For Two-Year Institutions</t>
  </si>
  <si>
    <t>Total graduating within six years (sum of lines D, E, and F)</t>
  </si>
  <si>
    <r>
      <t xml:space="preserve">Total 
</t>
    </r>
    <r>
      <rPr>
        <sz val="9"/>
        <rFont val="Arial"/>
        <family val="2"/>
      </rPr>
      <t>(sum of 3 columns to the left)</t>
    </r>
  </si>
  <si>
    <t>Students who did not receive either a Pell Grant or a subsidized Stafford Loan</t>
  </si>
  <si>
    <t>Recipients of a Subsidized Stafford Loan who did not receive a Pell Grant</t>
  </si>
  <si>
    <t>Recipients of a Federal Pell Grant</t>
  </si>
  <si>
    <t>For Bachelor’s or Equivalent Programs</t>
  </si>
  <si>
    <t>The items in this section correspond to data elements collected by the IPEDS Web-based Data Collection System’s Graduation Rate Survey (GRS).</t>
  </si>
  <si>
    <t>B4-B21: Graduation Rates</t>
  </si>
  <si>
    <t>Doctoral degrees – other</t>
  </si>
  <si>
    <t>Doctoral degrees – professional practice</t>
  </si>
  <si>
    <t>Doctoral degrees – research/scholarship</t>
  </si>
  <si>
    <t>Post-Master's certificates</t>
  </si>
  <si>
    <t>Master's degrees</t>
  </si>
  <si>
    <t>Postbachelor's certificates</t>
  </si>
  <si>
    <t>Bachelor's degrees</t>
  </si>
  <si>
    <t>Associate degrees</t>
  </si>
  <si>
    <t>Certificate/diploma</t>
  </si>
  <si>
    <t>B3</t>
  </si>
  <si>
    <t>Persistence</t>
  </si>
  <si>
    <t>TOTAL</t>
  </si>
  <si>
    <t>Race and/or ethnicity unknown</t>
  </si>
  <si>
    <t>Two or more races, non-Hispanic</t>
  </si>
  <si>
    <t>Native Hawaiian or other Pacific Islander, non-Hispanic</t>
  </si>
  <si>
    <t>Asian, non-Hispanic</t>
  </si>
  <si>
    <t>American Indian or Alaska Native, non-Hispanic</t>
  </si>
  <si>
    <t>White, non-Hispanic</t>
  </si>
  <si>
    <t>Black or African American, non-Hispanic</t>
  </si>
  <si>
    <t>Hispanic/Latino</t>
  </si>
  <si>
    <r>
      <rPr>
        <b/>
        <sz val="9"/>
        <rFont val="Arial"/>
        <family val="2"/>
      </rPr>
      <t xml:space="preserve">Total
Undergraduates </t>
    </r>
    <r>
      <rPr>
        <sz val="9"/>
        <rFont val="Arial"/>
        <family val="2"/>
      </rPr>
      <t>(both degree- and non-degree-seeking)</t>
    </r>
  </si>
  <si>
    <r>
      <rPr>
        <b/>
        <sz val="9"/>
        <rFont val="Arial"/>
        <family val="2"/>
      </rPr>
      <t xml:space="preserve">Degree-Seeking
Undergraduates </t>
    </r>
    <r>
      <rPr>
        <sz val="9"/>
        <rFont val="Arial"/>
        <family val="2"/>
      </rPr>
      <t>(include first-time first-year)</t>
    </r>
  </si>
  <si>
    <t>Degree-Seeking
First-Time
First Year</t>
  </si>
  <si>
    <t>•     Report as your institution reports to IPEDS: persons who are Hispanic should be reported only on the 
      Hispanic line, not under any race, and persons who are non-Hispanic multi-racial should be reported only 
      under "Two or more races."</t>
  </si>
  <si>
    <t>•     Complete the “Total Undergraduates” column only if you cannot provide data for the first two columns.</t>
  </si>
  <si>
    <t xml:space="preserve">Enrollment by Racial/Ethnic Category. </t>
  </si>
  <si>
    <t>B2</t>
  </si>
  <si>
    <t>GRAND TOTAL ALL STUDENTS</t>
  </si>
  <si>
    <t>Total all graduate</t>
  </si>
  <si>
    <t>Total all undergraduates</t>
  </si>
  <si>
    <t>Total all students</t>
  </si>
  <si>
    <t>Total graduate</t>
  </si>
  <si>
    <t>All other graduates enrolled in credit courses</t>
  </si>
  <si>
    <t>All other degree-seeking</t>
  </si>
  <si>
    <t>Degree-seeking, first-time</t>
  </si>
  <si>
    <t>Graduate</t>
  </si>
  <si>
    <t xml:space="preserve">Total undergraduates </t>
  </si>
  <si>
    <t>All other undergraduates enrolled in credit courses</t>
  </si>
  <si>
    <t>Total degree-seeking</t>
  </si>
  <si>
    <t xml:space="preserve">Other first-year, degree-seeking </t>
  </si>
  <si>
    <t>Undergraduates</t>
  </si>
  <si>
    <t>Women</t>
  </si>
  <si>
    <t>Men</t>
  </si>
  <si>
    <t>PART-TIME</t>
  </si>
  <si>
    <t>FULL-TIME</t>
  </si>
  <si>
    <r>
      <t xml:space="preserve">•     Note: Report students formerly designated as “first professional” in the graduate cells. For information on 
      reporting study abroad students please see this </t>
    </r>
    <r>
      <rPr>
        <u/>
        <sz val="10"/>
        <color rgb="FF0000FF"/>
        <rFont val="Arial"/>
        <family val="2"/>
      </rPr>
      <t>link</t>
    </r>
    <r>
      <rPr>
        <sz val="10"/>
        <rFont val="Arial"/>
        <family val="2"/>
      </rPr>
      <t xml:space="preserve">. </t>
    </r>
  </si>
  <si>
    <t xml:space="preserve">Institutional Enrollment - Men and Women </t>
  </si>
  <si>
    <t>B1</t>
  </si>
  <si>
    <t>B. ENROLLMENT AND PERSISTENCE</t>
  </si>
  <si>
    <t>NONRESIDENT ALIENS:</t>
  </si>
  <si>
    <t>Out-of-state:</t>
  </si>
  <si>
    <t>In-state (out-of-district):</t>
  </si>
  <si>
    <t>In-district:</t>
  </si>
  <si>
    <t>PUBLIC INSTITUTIONS:</t>
  </si>
  <si>
    <t>PRIVATE INSTITUTIONS:</t>
  </si>
  <si>
    <t xml:space="preserve">Undergraduate per-credit-hour charges (tuition only): </t>
  </si>
  <si>
    <t>G6</t>
  </si>
  <si>
    <t>* If your college cannot provide separate room and board figures for commuters not living at home</t>
  </si>
  <si>
    <t>Other expenses:</t>
  </si>
  <si>
    <t>Transportation:</t>
  </si>
  <si>
    <t>Room and board total*</t>
  </si>
  <si>
    <t>Board only:</t>
  </si>
  <si>
    <t>Room only:</t>
  </si>
  <si>
    <t>Books and supplies:</t>
  </si>
  <si>
    <t>Commuters
(not living at home)</t>
  </si>
  <si>
    <t>Commuters
(living at home)</t>
  </si>
  <si>
    <t>Residents</t>
  </si>
  <si>
    <t>Provide the estimated expenses for a typical full-time undergraduate student:</t>
  </si>
  <si>
    <t>G5</t>
  </si>
  <si>
    <t>If yes, what percentage of full-time undergraduates pay more than the tuition and fees reported in G1?</t>
  </si>
  <si>
    <t xml:space="preserve">Do tuition and fees vary by undergraduate instructional program?                         </t>
  </si>
  <si>
    <t>G4</t>
  </si>
  <si>
    <t>Do tuition and fees vary by year of study (e.g., sophomore, junior, senior)?</t>
  </si>
  <si>
    <t>G3</t>
  </si>
  <si>
    <t>Number of credits per term a student can take for the stated full-time tuition.</t>
  </si>
  <si>
    <t>G2</t>
  </si>
  <si>
    <t>Maximum</t>
  </si>
  <si>
    <t>Minimum</t>
  </si>
  <si>
    <t>Other:</t>
  </si>
  <si>
    <t xml:space="preserve">Comprehensive tuition and room and board fee (if your college cannot provide separate tuition and room and board fees):
</t>
  </si>
  <si>
    <t>Board Only (on-campus meal plan):</t>
  </si>
  <si>
    <t>Room Only (on-campus):</t>
  </si>
  <si>
    <t>Room and Board (on-campus):</t>
  </si>
  <si>
    <t>Required Fees</t>
  </si>
  <si>
    <t>FOR ALL INSTITUTIONS</t>
  </si>
  <si>
    <t>Tuition: Non-resident alien</t>
  </si>
  <si>
    <t>Tuition: Out-of-state:</t>
  </si>
  <si>
    <t>Tuition: In-state (out-of-district):</t>
  </si>
  <si>
    <t>Tuition: In-district</t>
  </si>
  <si>
    <t>PUBLIC INSTITUTIONS</t>
  </si>
  <si>
    <t>Tuition:</t>
  </si>
  <si>
    <t>PRIVATE INSTITUTIONS</t>
  </si>
  <si>
    <t>First-Year</t>
  </si>
  <si>
    <t>G1</t>
  </si>
  <si>
    <r>
      <t xml:space="preserve">•     Do </t>
    </r>
    <r>
      <rPr>
        <b/>
        <i/>
        <sz val="10"/>
        <color indexed="8"/>
        <rFont val="Arial"/>
        <family val="2"/>
      </rPr>
      <t>not</t>
    </r>
    <r>
      <rPr>
        <sz val="10"/>
        <color indexed="8"/>
        <rFont val="Arial"/>
        <family val="2"/>
      </rPr>
      <t xml:space="preserve"> include optional fees (e.g., parking, laboratory use).</t>
    </r>
  </si>
  <si>
    <r>
      <rPr>
        <sz val="10"/>
        <color indexed="8"/>
        <rFont val="Arial"/>
        <family val="2"/>
      </rPr>
      <t>•</t>
    </r>
    <r>
      <rPr>
        <b/>
        <sz val="10"/>
        <color indexed="8"/>
        <rFont val="Arial"/>
        <family val="2"/>
      </rPr>
      <t xml:space="preserve">     Required fees </t>
    </r>
    <r>
      <rPr>
        <sz val="10"/>
        <color indexed="8"/>
        <rFont val="Arial"/>
        <family val="2"/>
      </rPr>
      <t xml:space="preserve">include only charges that all full-time students must pay that are </t>
    </r>
    <r>
      <rPr>
        <b/>
        <sz val="10"/>
        <color indexed="8"/>
        <rFont val="Arial"/>
        <family val="2"/>
      </rPr>
      <t>not</t>
    </r>
    <r>
      <rPr>
        <sz val="10"/>
        <color indexed="8"/>
        <rFont val="Arial"/>
        <family val="2"/>
      </rPr>
      <t xml:space="preserve"> included in tuition 
      (e.g., registration, health, or activity fees.) </t>
    </r>
  </si>
  <si>
    <t xml:space="preserve">•     Room and board is defined as double occupancy and 19 meals per week or the maximum meal plan. </t>
  </si>
  <si>
    <t>Undergraduate full-time tuition, required fees, room and board</t>
  </si>
  <si>
    <t>Please provide the URL of your institution’s net price calculator:</t>
  </si>
  <si>
    <t>G0</t>
  </si>
  <si>
    <t>G. ANNUAL EXPENSES</t>
  </si>
  <si>
    <t>Describe other military/veteran transfer credit policies unique to your institution:</t>
  </si>
  <si>
    <t>D22</t>
  </si>
  <si>
    <t>If yes, please provide the URL where the policy can be located:</t>
  </si>
  <si>
    <t>Are the military/veteran credit transfer policies published on your website?</t>
  </si>
  <si>
    <t>D21</t>
  </si>
  <si>
    <t>Maximum number of credits or courses that may be transferred based on Department of Defense supported prior learning assessments (College Level Examination Program (CLEP) or DANTES Subject Standardized Tests (DSST)):</t>
  </si>
  <si>
    <t>D20</t>
  </si>
  <si>
    <t>Unit Type</t>
  </si>
  <si>
    <t>Number</t>
  </si>
  <si>
    <t xml:space="preserve">Maximum number of credits or courses that may be transferred based on military education evaluated by the American Council on Education (ACE): </t>
  </si>
  <si>
    <t>D19</t>
  </si>
  <si>
    <t>DANTES Subject Standardized Tests (DSST)</t>
  </si>
  <si>
    <t>College Level Examination Program (CLEP)</t>
  </si>
  <si>
    <t>American Council on Education (ACE)</t>
  </si>
  <si>
    <t>Does your institution accept the following military/veteran transfer credits:</t>
  </si>
  <si>
    <t>D18</t>
  </si>
  <si>
    <t>D18-D22: Military Service Transfer Credit Policies</t>
  </si>
  <si>
    <t>Describe other transfer credit policies:</t>
  </si>
  <si>
    <t>D17</t>
  </si>
  <si>
    <t>Minimum number of credits that transfers must complete at your institution to earn a bachelor’s degree:</t>
  </si>
  <si>
    <t>D16</t>
  </si>
  <si>
    <t>Minimum number of credits that transfers must complete at your institution to earn an associate degree:</t>
  </si>
  <si>
    <t>D15</t>
  </si>
  <si>
    <t>Maximum number of credits or courses that may be transferred from a four-year institution:</t>
  </si>
  <si>
    <t>D14</t>
  </si>
  <si>
    <t>Maximum number of credits or courses that may be transferred from a two-year institution:</t>
  </si>
  <si>
    <t>D13</t>
  </si>
  <si>
    <t xml:space="preserve">Report the lowest grade earned for any course that may be transferred for credit:  </t>
  </si>
  <si>
    <t>D12</t>
  </si>
  <si>
    <t>D12-D17: Transfer Credit Policies</t>
  </si>
  <si>
    <t xml:space="preserve">Describe additional requirements for transfer admission, if applicable: </t>
  </si>
  <si>
    <t>D11</t>
  </si>
  <si>
    <t>Does an open admission policy, if reported, apply to transfer students?</t>
  </si>
  <si>
    <t>D10</t>
  </si>
  <si>
    <t>Summer</t>
  </si>
  <si>
    <t>D9</t>
  </si>
  <si>
    <t>Spring</t>
  </si>
  <si>
    <t>Winter</t>
  </si>
  <si>
    <t>Fall</t>
  </si>
  <si>
    <t>Rolling Admission</t>
  </si>
  <si>
    <t>Reply Date</t>
  </si>
  <si>
    <t>Notification Date</t>
  </si>
  <si>
    <t>Closing Date</t>
  </si>
  <si>
    <t>Priority Date</t>
  </si>
  <si>
    <t>Summer - Rolling Admission</t>
  </si>
  <si>
    <t>Spring - Rolling Admission</t>
  </si>
  <si>
    <t>Winter - Rolling Admission</t>
  </si>
  <si>
    <t>Fall - Rolling Admission</t>
  </si>
  <si>
    <t>List application priority, closing, notification, and candidate reply dates for transfer students. If applications are reviewed on a continuous or rolling basis, place a check mark in the “Rolling admission” column.</t>
  </si>
  <si>
    <t>List any other application requirements specific to transfer applicants:</t>
  </si>
  <si>
    <t>D8</t>
  </si>
  <si>
    <t xml:space="preserve">If a minimum college grade point average is required of transfer applicants, specify (on a 4.0 scale):
</t>
  </si>
  <si>
    <t>D7</t>
  </si>
  <si>
    <t>If a minimum high school grade point average is required of transfer applicants, specify (on a 4.0 scale):</t>
  </si>
  <si>
    <t>D6</t>
  </si>
  <si>
    <t>Statement of good standing from prior institution(s)</t>
  </si>
  <si>
    <t>Standardized test scores</t>
  </si>
  <si>
    <t>Interview</t>
  </si>
  <si>
    <t>Essay or personal statement</t>
  </si>
  <si>
    <t>College transcript(s)</t>
  </si>
  <si>
    <t>High school transcript</t>
  </si>
  <si>
    <t>Not Required</t>
  </si>
  <si>
    <t>Required of Some</t>
  </si>
  <si>
    <t>Recommended
of Some</t>
  </si>
  <si>
    <t>Recommended
of All</t>
  </si>
  <si>
    <t>Required of All</t>
  </si>
  <si>
    <t>Indicate all items required of transfer students to apply for admission:</t>
  </si>
  <si>
    <t>D5</t>
  </si>
  <si>
    <t xml:space="preserve">If yes, what is the minimum number of credits and the unit of measure?  </t>
  </si>
  <si>
    <t>Must a transfer applicant have a minimum number of credits completed or else must apply as an entering freshman?</t>
  </si>
  <si>
    <t>D4</t>
  </si>
  <si>
    <t>Indicate terms for which transfers may enroll:</t>
  </si>
  <si>
    <t>D3</t>
  </si>
  <si>
    <t>D3-D11: Application for Admission</t>
  </si>
  <si>
    <t>Enrolled Applicants</t>
  </si>
  <si>
    <t>Admitted Applicants</t>
  </si>
  <si>
    <t>Applicants</t>
  </si>
  <si>
    <t>D2</t>
  </si>
  <si>
    <t>If yes, may transfer students earn advanced standing credit by transferring credits earned from course work completed at other colleges/universities?</t>
  </si>
  <si>
    <t>Does your institution enroll transfer students? (If no, please skip to Section E)</t>
  </si>
  <si>
    <t>D1</t>
  </si>
  <si>
    <t>D1-D2: Fall Applicants</t>
  </si>
  <si>
    <t>D. TRANSFER ADMISSION</t>
  </si>
  <si>
    <t>Doctoral degree -- other</t>
  </si>
  <si>
    <t>A5</t>
  </si>
  <si>
    <t>Doctoral degree – professional practice</t>
  </si>
  <si>
    <t>Doctoral degree research/scholarship</t>
  </si>
  <si>
    <t>Post-master's certificate</t>
  </si>
  <si>
    <t>Master's</t>
  </si>
  <si>
    <t>Postbachelor's certificate</t>
  </si>
  <si>
    <t>Bachelor's</t>
  </si>
  <si>
    <t>Terminal Associate</t>
  </si>
  <si>
    <t>Transfer Associate</t>
  </si>
  <si>
    <t>Diploma</t>
  </si>
  <si>
    <t>Certificate</t>
  </si>
  <si>
    <t>Degrees offered by your institution:</t>
  </si>
  <si>
    <t>Describe if differs by program or other:</t>
  </si>
  <si>
    <t xml:space="preserve">Other </t>
  </si>
  <si>
    <t>Differs by program</t>
  </si>
  <si>
    <t>Continuous</t>
  </si>
  <si>
    <t>4-1-4</t>
  </si>
  <si>
    <t>Trimester</t>
  </si>
  <si>
    <t>Quarter</t>
  </si>
  <si>
    <t>Semester</t>
  </si>
  <si>
    <t>A4</t>
  </si>
  <si>
    <t>Women's college</t>
  </si>
  <si>
    <t>Men's college</t>
  </si>
  <si>
    <t>Coeducational college</t>
  </si>
  <si>
    <t>A3</t>
  </si>
  <si>
    <t>Proprietary</t>
  </si>
  <si>
    <t>Private (nonprofit)</t>
  </si>
  <si>
    <t>Public</t>
  </si>
  <si>
    <r>
      <t xml:space="preserve">Source of institutional control </t>
    </r>
    <r>
      <rPr>
        <sz val="10"/>
        <rFont val="Arial"/>
        <family val="2"/>
      </rPr>
      <t>(Check only one)</t>
    </r>
    <r>
      <rPr>
        <b/>
        <sz val="10"/>
        <rFont val="Arial"/>
        <family val="2"/>
      </rPr>
      <t>:</t>
    </r>
  </si>
  <si>
    <t>A2</t>
  </si>
  <si>
    <t>If you have a mailing address other than the above to which applications should be sent, please provide:</t>
  </si>
  <si>
    <t>If there is a separate URL for your school’s online application, please specify:</t>
  </si>
  <si>
    <t>Admissions E-mail Address:</t>
  </si>
  <si>
    <t>Admissions Fax Number:</t>
  </si>
  <si>
    <t>Zip:</t>
  </si>
  <si>
    <t>Country:</t>
  </si>
  <si>
    <t>State:</t>
  </si>
  <si>
    <t>City:</t>
  </si>
  <si>
    <t>Admissions Office Mailing Address:</t>
  </si>
  <si>
    <t>Admissions Toll-Free Phone Number:</t>
  </si>
  <si>
    <t>Admissions Phone Number:</t>
  </si>
  <si>
    <t>WWW Home Page Address:</t>
  </si>
  <si>
    <t>Main Phone Number:</t>
  </si>
  <si>
    <t>Main Phone Area Code:</t>
  </si>
  <si>
    <t>City/State/Zip/Country:</t>
  </si>
  <si>
    <t>Street Address (if different):</t>
  </si>
  <si>
    <t>Mailing Address:</t>
  </si>
  <si>
    <t>Name of College/University:</t>
  </si>
  <si>
    <t>Address Information</t>
  </si>
  <si>
    <t>A1</t>
  </si>
  <si>
    <t>We invite you to indicate if there are items on the CDS for which you cannot use the requested analytic convention, cannot provide data for the cohort requested, whose methodology is unclear, or about which you have questions or comments in general. This information will not be published but will help the publishers further refine CDS items.</t>
  </si>
  <si>
    <t>A0A</t>
  </si>
  <si>
    <t>If yes, please provide the URL of the corresponding Web page:</t>
  </si>
  <si>
    <t>Are your responses to the CDS posted for reference on your institution's Web site?</t>
  </si>
  <si>
    <t>E-mail Address:</t>
  </si>
  <si>
    <t>Fax Phone Number:</t>
  </si>
  <si>
    <t>Fax Area Code:</t>
  </si>
  <si>
    <t>Phone Number:</t>
  </si>
  <si>
    <t>Area Code:</t>
  </si>
  <si>
    <t>Office:</t>
  </si>
  <si>
    <t>Title:</t>
  </si>
  <si>
    <t>Last Name:</t>
  </si>
  <si>
    <t>First Name:</t>
  </si>
  <si>
    <t>Respondent Information (Not for Publication)</t>
  </si>
  <si>
    <t>A0</t>
  </si>
  <si>
    <t>A.  General Information</t>
  </si>
  <si>
    <t>7_27_124_768</t>
  </si>
  <si>
    <t>7_27_124_766</t>
  </si>
  <si>
    <t>7_27_124_763</t>
  </si>
  <si>
    <t>7_27_124_762</t>
  </si>
  <si>
    <t>7_26_123_2778</t>
  </si>
  <si>
    <t xml:space="preserve"> </t>
  </si>
  <si>
    <t>7_26_123_761</t>
  </si>
  <si>
    <t>7_26_188_2744</t>
  </si>
  <si>
    <t>7_26_188_2743</t>
  </si>
  <si>
    <t>7_26_188_2739</t>
  </si>
  <si>
    <t>7_26_188_2733</t>
  </si>
  <si>
    <t>7_26_188_2726</t>
  </si>
  <si>
    <t>7_26_188_2729</t>
  </si>
  <si>
    <t>7_26_188_2728</t>
  </si>
  <si>
    <t>7_26_188_2727</t>
  </si>
  <si>
    <t>7_26_188_2723</t>
  </si>
  <si>
    <t>7_26_188_2722</t>
  </si>
  <si>
    <t>Other (describe):</t>
  </si>
  <si>
    <t>Social science</t>
  </si>
  <si>
    <t>Sciences (biological or physical)</t>
  </si>
  <si>
    <t>Philosophy</t>
  </si>
  <si>
    <t>Mathematics</t>
  </si>
  <si>
    <t>Humanities</t>
  </si>
  <si>
    <t>Foreign languages</t>
  </si>
  <si>
    <t>English (including composition)</t>
  </si>
  <si>
    <t>Computer literacy</t>
  </si>
  <si>
    <t>Areas in which all or most students are required to complete some course work prior to graduation:</t>
  </si>
  <si>
    <t>E3</t>
  </si>
  <si>
    <t>Has been removed from the CDS.</t>
  </si>
  <si>
    <t>E2</t>
  </si>
  <si>
    <t>Weekend college</t>
  </si>
  <si>
    <t>Teacher certification program</t>
  </si>
  <si>
    <t>Study abroad</t>
  </si>
  <si>
    <t>Student-designed major</t>
  </si>
  <si>
    <t>Liberal arts/career combination</t>
  </si>
  <si>
    <t>Internships</t>
  </si>
  <si>
    <t>Independent study</t>
  </si>
  <si>
    <t>Honors Program</t>
  </si>
  <si>
    <t>External degree program</t>
  </si>
  <si>
    <t>Exchange student program (domestic)</t>
  </si>
  <si>
    <t>English as a Second Language (ESL)</t>
  </si>
  <si>
    <t>Dual enrollment</t>
  </si>
  <si>
    <t>Double major</t>
  </si>
  <si>
    <t>Distance learning</t>
  </si>
  <si>
    <t>Cross-registration</t>
  </si>
  <si>
    <t>Accelerated program</t>
  </si>
  <si>
    <r>
      <t xml:space="preserve">Special study options: </t>
    </r>
    <r>
      <rPr>
        <sz val="10"/>
        <rFont val="Arial"/>
        <family val="2"/>
      </rPr>
      <t>Identify those programs available at your institution. Refer to the glossary for definitions.</t>
    </r>
  </si>
  <si>
    <t>E1</t>
  </si>
  <si>
    <t>E. ACADEMIC OFFERINGS AND POLICIES</t>
  </si>
  <si>
    <t>3_12_59_316</t>
  </si>
  <si>
    <t>3_12_59_315</t>
  </si>
  <si>
    <t>3_9_48_254</t>
  </si>
  <si>
    <t>3_9_48_253</t>
  </si>
  <si>
    <t>Other housing options (specify):</t>
  </si>
  <si>
    <t>Wellness housing</t>
  </si>
  <si>
    <t>Theme housing</t>
  </si>
  <si>
    <t>Cooperative housing</t>
  </si>
  <si>
    <t>Fraternity/sorority housing</t>
  </si>
  <si>
    <t>Special housing for international students</t>
  </si>
  <si>
    <t>Special housing for disabled students</t>
  </si>
  <si>
    <t>Apartments for single students</t>
  </si>
  <si>
    <t>Apartments for married students</t>
  </si>
  <si>
    <r>
      <t xml:space="preserve">Housing: </t>
    </r>
    <r>
      <rPr>
        <sz val="10"/>
        <rFont val="Arial"/>
        <family val="2"/>
      </rPr>
      <t>Check all types of college-owned, -operated, or -affiliated housing available for undergraduates at your institution.</t>
    </r>
  </si>
  <si>
    <t>F4</t>
  </si>
  <si>
    <t>Air Force ROTC is offered:</t>
  </si>
  <si>
    <t>Naval ROTC is offered:</t>
  </si>
  <si>
    <t>Army ROTC is offered:</t>
  </si>
  <si>
    <t>Name of Cooperating Institution</t>
  </si>
  <si>
    <t xml:space="preserve">At Cooperating Institution </t>
  </si>
  <si>
    <t>On Campus</t>
  </si>
  <si>
    <r>
      <t xml:space="preserve">ROTC </t>
    </r>
    <r>
      <rPr>
        <sz val="10"/>
        <rFont val="Arial"/>
        <family val="2"/>
      </rPr>
      <t>(program offered in cooperation with Reserve Officers' Training Corps)</t>
    </r>
  </si>
  <si>
    <t>F3</t>
  </si>
  <si>
    <t>Yearbook</t>
  </si>
  <si>
    <t>Television station</t>
  </si>
  <si>
    <t>Symphony orchestra</t>
  </si>
  <si>
    <t>Student-run film society</t>
  </si>
  <si>
    <t>Student newspaper</t>
  </si>
  <si>
    <t>Student government</t>
  </si>
  <si>
    <t>Radio station</t>
  </si>
  <si>
    <t>Pep band</t>
  </si>
  <si>
    <t>Opera</t>
  </si>
  <si>
    <t>Musical theater</t>
  </si>
  <si>
    <t>Music ensembles</t>
  </si>
  <si>
    <t>Model UN</t>
  </si>
  <si>
    <t>Marching band</t>
  </si>
  <si>
    <t>Literary magazine</t>
  </si>
  <si>
    <t>Jazz band</t>
  </si>
  <si>
    <t>International Student Organization</t>
  </si>
  <si>
    <t>Drama/theater</t>
  </si>
  <si>
    <t>Dance</t>
  </si>
  <si>
    <t>Concert band</t>
  </si>
  <si>
    <t>Choral groups</t>
  </si>
  <si>
    <t>Campus Ministries</t>
  </si>
  <si>
    <r>
      <t xml:space="preserve">Activities offered. </t>
    </r>
    <r>
      <rPr>
        <sz val="10"/>
        <rFont val="Arial"/>
        <family val="2"/>
      </rPr>
      <t xml:space="preserve">Identify those programs available at your institution. </t>
    </r>
  </si>
  <si>
    <t>F2</t>
  </si>
  <si>
    <t>Average age of all students (full- and part-time)</t>
  </si>
  <si>
    <t>Average age of full-time students</t>
  </si>
  <si>
    <t>Percent of students age 25 and older</t>
  </si>
  <si>
    <t>Percent who live off campus or commute</t>
  </si>
  <si>
    <t>Percent who live in college-owned, -operated, or -affiliated housing</t>
  </si>
  <si>
    <t>Percent of women who join sororities</t>
  </si>
  <si>
    <t>Percent of men who join fraternities</t>
  </si>
  <si>
    <t>Percent who are from out of state (exclude international/nonresident aliens from the numerator and denominator)</t>
  </si>
  <si>
    <t xml:space="preserve">First-time, first-year (freshman) students </t>
  </si>
  <si>
    <t>F1</t>
  </si>
  <si>
    <t>F. STUDENT LIFE</t>
  </si>
  <si>
    <t>10_35_139_846</t>
  </si>
  <si>
    <t>10_36_141_851</t>
  </si>
  <si>
    <t>10_36_141_850</t>
  </si>
  <si>
    <t>10_36_141_849</t>
  </si>
  <si>
    <t>10_36_140_848</t>
  </si>
  <si>
    <t>10_34_138_2791</t>
  </si>
  <si>
    <t>10_34_137_2792</t>
  </si>
  <si>
    <t>10_34_138_2790</t>
  </si>
  <si>
    <t>10_34_137_2793</t>
  </si>
  <si>
    <t>10_34_138_845</t>
  </si>
  <si>
    <t>10_34_137_839</t>
  </si>
  <si>
    <t>10_34_138_844</t>
  </si>
  <si>
    <t>10_34_137_838</t>
  </si>
  <si>
    <t>10_34_138_843</t>
  </si>
  <si>
    <t>10_34_137_837</t>
  </si>
  <si>
    <t>10_34_138_842</t>
  </si>
  <si>
    <t>10_34_137_836</t>
  </si>
  <si>
    <t>10_34_138_841</t>
  </si>
  <si>
    <t>10_34_137_835</t>
  </si>
  <si>
    <t>10_34_138_840</t>
  </si>
  <si>
    <t>10_34_137_834</t>
  </si>
  <si>
    <t>Not using essay component</t>
  </si>
  <si>
    <t>No college policy as of now</t>
  </si>
  <si>
    <t>As a validity check on the application process</t>
  </si>
  <si>
    <t>In place of an application essay</t>
  </si>
  <si>
    <t>For advising</t>
  </si>
  <si>
    <t>For placement</t>
  </si>
  <si>
    <t>For admission</t>
  </si>
  <si>
    <t>ACT essay</t>
  </si>
  <si>
    <t>SAT essay</t>
  </si>
  <si>
    <t>Please indicate how your institution will use the SAT or ACT essay component; check all that apply.</t>
  </si>
  <si>
    <t>C8C</t>
  </si>
  <si>
    <t>Neither require nor recommend</t>
  </si>
  <si>
    <t>Recommend</t>
  </si>
  <si>
    <t>Require</t>
  </si>
  <si>
    <t>Does your institution require or recommend a general college-preparatory program for degree-seeking students?</t>
  </si>
  <si>
    <t>C4</t>
  </si>
  <si>
    <t>High school diploma or equivalent is not required</t>
  </si>
  <si>
    <t>High school diploma is required and GED is not accepted</t>
  </si>
  <si>
    <t>High school diploma is required and GED is accepted</t>
  </si>
  <si>
    <t>High school completion requirement</t>
  </si>
  <si>
    <t>C3</t>
  </si>
  <si>
    <t>C3-C5: Admission Requirements</t>
  </si>
  <si>
    <t>Do you release that information to school counselors?</t>
  </si>
  <si>
    <t>If yes, do you release that information to students?</t>
  </si>
  <si>
    <t>Is your waiting list ranked?</t>
  </si>
  <si>
    <t>CDS</t>
  </si>
  <si>
    <t>Number accepting a place on the waiting list:</t>
  </si>
  <si>
    <t>Number of qualified applicants offered a place on waiting list:</t>
  </si>
  <si>
    <t>WAITING LIST</t>
  </si>
  <si>
    <t>Do you have a policy of placing students on a waiting list?</t>
  </si>
  <si>
    <t>Students who met admission requirements but whose final admission was contingent on space availability</t>
  </si>
  <si>
    <t>C2</t>
  </si>
  <si>
    <t>Total first-time, first-year (degree-seeking) who enrolled</t>
  </si>
  <si>
    <t>Total first-time, first-year (degree-seeking) who were admitted</t>
  </si>
  <si>
    <t>Total first-time, first-year (degree-seeking) who applied</t>
  </si>
  <si>
    <t xml:space="preserve">•     Applicants should include only those students who fulfilled the requirements for consideration for       
      admission (i.e., who completed actionable applications) and who have been notified of one of the 
      following actions: admission, non-admission, placement on waiting list, or application withdrawn (by 
      applicant or institution). </t>
  </si>
  <si>
    <t>•     Include early decision, early action, and students who began studies during summer in this cohort.</t>
  </si>
  <si>
    <t>C1</t>
  </si>
  <si>
    <t>C1-C2: Applications</t>
  </si>
  <si>
    <t>1_2_13_87</t>
  </si>
  <si>
    <t>1_2_13_86</t>
  </si>
  <si>
    <t>1_2_9_31</t>
  </si>
  <si>
    <t>1_2_183_2681</t>
  </si>
  <si>
    <t>1_2_7_24</t>
  </si>
  <si>
    <t>1_2_7_23</t>
  </si>
  <si>
    <t>1_2_7_22</t>
  </si>
  <si>
    <t>1_2_7_21</t>
  </si>
  <si>
    <t>1_2_7_20</t>
  </si>
  <si>
    <t>1_2_7_19</t>
  </si>
  <si>
    <t>1_2_7_17</t>
  </si>
  <si>
    <t>5_15_72_380</t>
  </si>
  <si>
    <t>5_15_72_379</t>
  </si>
  <si>
    <t>5_15_72_378</t>
  </si>
  <si>
    <t>5_15_71_377</t>
  </si>
  <si>
    <t>5_15_71_375</t>
  </si>
  <si>
    <t>5_15_71_376</t>
  </si>
  <si>
    <t>5_15_71_374</t>
  </si>
  <si>
    <t>5_15_70_373</t>
  </si>
  <si>
    <t>5_15_70_372</t>
  </si>
  <si>
    <t>5_15_69_371</t>
  </si>
  <si>
    <t>5_15_69_370</t>
  </si>
  <si>
    <t>Survey Map</t>
  </si>
  <si>
    <t>Arts/Fine Arts</t>
  </si>
  <si>
    <t>9_30_128_813</t>
  </si>
  <si>
    <t>9_30_128_814</t>
  </si>
  <si>
    <t>9_30_128_815</t>
  </si>
  <si>
    <t>9_30_128_816</t>
  </si>
  <si>
    <t>9_30_128_817</t>
  </si>
  <si>
    <t>9_30_128_818</t>
  </si>
  <si>
    <t>9_30_128_819</t>
  </si>
  <si>
    <t>9_30_128_820</t>
  </si>
  <si>
    <t>9_30_128_821</t>
  </si>
  <si>
    <t>9_33_133_3011</t>
  </si>
  <si>
    <t>9_33_133_3013</t>
  </si>
  <si>
    <t>9_33_133_3016</t>
  </si>
  <si>
    <t>9_33_133_2906</t>
  </si>
  <si>
    <t>9_33_133_3006</t>
  </si>
  <si>
    <t>9_33_133_3007</t>
  </si>
  <si>
    <t>9_33_133_3010</t>
  </si>
  <si>
    <t>9_33_133_2909</t>
  </si>
  <si>
    <t>9_33_133_3000</t>
  </si>
  <si>
    <t>9_33_133_3001</t>
  </si>
  <si>
    <t>9_33_133_3004</t>
  </si>
  <si>
    <t>9_33_133_2912</t>
  </si>
  <si>
    <t>9_33_133_2993</t>
  </si>
  <si>
    <t>9_33_133_2996</t>
  </si>
  <si>
    <t>9_33_133_2997</t>
  </si>
  <si>
    <t>9_33_133_2915</t>
  </si>
  <si>
    <t>9_33_133_3012</t>
  </si>
  <si>
    <t>9_33_133_3014</t>
  </si>
  <si>
    <t>9_33_133_3015</t>
  </si>
  <si>
    <t>9_33_133_2907</t>
  </si>
  <si>
    <t>9_33_133_3005</t>
  </si>
  <si>
    <t>9_33_133_3008</t>
  </si>
  <si>
    <t>9_33_133_3009</t>
  </si>
  <si>
    <t>9_33_133_2910</t>
  </si>
  <si>
    <t>9_33_133_2999</t>
  </si>
  <si>
    <t>9_33_133_3002</t>
  </si>
  <si>
    <t>9_33_133_3003</t>
  </si>
  <si>
    <t>9_33_133_2913</t>
  </si>
  <si>
    <t>9_33_133_2994</t>
  </si>
  <si>
    <t>9_33_133_2995</t>
  </si>
  <si>
    <t>9_33_133_2998</t>
  </si>
  <si>
    <t>9_33_133_2916</t>
  </si>
  <si>
    <t>9_33_133_2987</t>
  </si>
  <si>
    <t>9_33_133_2990</t>
  </si>
  <si>
    <t>9_33_133_2991</t>
  </si>
  <si>
    <t>9_33_133_2918</t>
  </si>
  <si>
    <t>9_33_133_2983</t>
  </si>
  <si>
    <t>9_33_133_2984</t>
  </si>
  <si>
    <t>9_33_133_2980</t>
  </si>
  <si>
    <t>9_33_133_2972</t>
  </si>
  <si>
    <t>9_33_133_2976</t>
  </si>
  <si>
    <t>9_33_133_2977</t>
  </si>
  <si>
    <t>9_33_133_2981</t>
  </si>
  <si>
    <t>9_33_133_2920</t>
  </si>
  <si>
    <t>9_33_133_830</t>
  </si>
  <si>
    <t>9_33_133_2988</t>
  </si>
  <si>
    <t>9_33_133_2989</t>
  </si>
  <si>
    <t>9_33_133_2992</t>
  </si>
  <si>
    <t>9_33_133_2919</t>
  </si>
  <si>
    <t>9_33_133_2986</t>
  </si>
  <si>
    <t>9_33_133_2985</t>
  </si>
  <si>
    <t>9_33_133_2982</t>
  </si>
  <si>
    <t>9_33_133_2971</t>
  </si>
  <si>
    <t>9_33_133_2975</t>
  </si>
  <si>
    <t>9_33_133_2978</t>
  </si>
  <si>
    <t>9_33_133_2979</t>
  </si>
  <si>
    <t>9_33_133_2921</t>
  </si>
  <si>
    <t>9_33_133_2561</t>
  </si>
  <si>
    <t>9_33_197_2923</t>
  </si>
  <si>
    <t>9_33_197_2924</t>
  </si>
  <si>
    <t>9_33_197_2927</t>
  </si>
  <si>
    <t>9_33_197_2929</t>
  </si>
  <si>
    <t>9_33_197_2930</t>
  </si>
  <si>
    <t>9_33_197_2932</t>
  </si>
  <si>
    <t>9_33_197_2933</t>
  </si>
  <si>
    <t>9_33_197_2935</t>
  </si>
  <si>
    <t>9_33_197_2936</t>
  </si>
  <si>
    <t>9_33_197_2938</t>
  </si>
  <si>
    <t>9_33_197_2939</t>
  </si>
  <si>
    <t>9_33_197_2943</t>
  </si>
  <si>
    <t>9_33_197_2944</t>
  </si>
  <si>
    <t>9_33_197_2946</t>
  </si>
  <si>
    <t>9_33_197_2947</t>
  </si>
  <si>
    <t>9_33_197_2952</t>
  </si>
  <si>
    <t>9_33_197_2953</t>
  </si>
  <si>
    <t>9_33_197_2950</t>
  </si>
  <si>
    <t>9_33_197_2949</t>
  </si>
  <si>
    <t>9_32_131_828</t>
  </si>
  <si>
    <t>9_33_197_2926</t>
  </si>
  <si>
    <t>5_18_66_352</t>
  </si>
  <si>
    <t>5_18_66_353</t>
  </si>
  <si>
    <t>5_18_66_354</t>
  </si>
  <si>
    <t>5_18_66_355</t>
  </si>
  <si>
    <t>5_18_67_356</t>
  </si>
  <si>
    <t>5_18_67_357</t>
  </si>
  <si>
    <t>5_18_67_358</t>
  </si>
  <si>
    <t>5_18_67_359</t>
  </si>
  <si>
    <t>5_18_95_496</t>
  </si>
  <si>
    <t>5_18_95_497</t>
  </si>
  <si>
    <t>5_18_95_498</t>
  </si>
  <si>
    <t>5_18_95_499</t>
  </si>
  <si>
    <t>5_18_96_500</t>
  </si>
  <si>
    <t>5_18_96_501</t>
  </si>
  <si>
    <t>5_18_96_502</t>
  </si>
  <si>
    <t>5_18_96_503</t>
  </si>
  <si>
    <t>5_18_98_506</t>
  </si>
  <si>
    <t>5_18_98_507</t>
  </si>
  <si>
    <t>5_18_98_508</t>
  </si>
  <si>
    <t>5_18_98_509</t>
  </si>
  <si>
    <t>5_18_99_510</t>
  </si>
  <si>
    <t>5_18_99_511</t>
  </si>
  <si>
    <t>5_18_99_512</t>
  </si>
  <si>
    <t>5_18_99_513</t>
  </si>
  <si>
    <t>5_18_97_514</t>
  </si>
  <si>
    <t>5_18_68_360</t>
  </si>
  <si>
    <t>5_18_68_361</t>
  </si>
  <si>
    <t>5_18_68_362</t>
  </si>
  <si>
    <t>5_18_68_363</t>
  </si>
  <si>
    <t>5_18_68_364</t>
  </si>
  <si>
    <t>5_18_68_365</t>
  </si>
  <si>
    <t>5_18_68_366</t>
  </si>
  <si>
    <t>5_18_68_367</t>
  </si>
  <si>
    <t>5_18_68_368</t>
  </si>
  <si>
    <t>5_18_68_369</t>
  </si>
  <si>
    <t>5_18_100_515</t>
  </si>
  <si>
    <t>5_18_100_516</t>
  </si>
  <si>
    <t>5_18_100_517</t>
  </si>
  <si>
    <t>5_18_100_518</t>
  </si>
  <si>
    <t>5_18_100_519</t>
  </si>
  <si>
    <t>5_18_100_520</t>
  </si>
  <si>
    <t>5_18_100_521</t>
  </si>
  <si>
    <t>5_18_100_522</t>
  </si>
  <si>
    <t>5_18_100_523</t>
  </si>
  <si>
    <t>5_18_100_524</t>
  </si>
  <si>
    <t>5_18_101_525</t>
  </si>
  <si>
    <t>5_18_101_526</t>
  </si>
  <si>
    <t>5_18_101_527</t>
  </si>
  <si>
    <t>5_18_101_528</t>
  </si>
  <si>
    <t>5_18_101_529</t>
  </si>
  <si>
    <t>5_18_101_530</t>
  </si>
  <si>
    <t>5_18_101_531</t>
  </si>
  <si>
    <t>5_18_101_532</t>
  </si>
  <si>
    <t>5_18_101_533</t>
  </si>
  <si>
    <t>5_18_101_534</t>
  </si>
  <si>
    <t>5_16_86_467</t>
  </si>
  <si>
    <t>5_16_86_468</t>
  </si>
  <si>
    <t>5_16_86_469</t>
  </si>
  <si>
    <t>5_16_86_470</t>
  </si>
  <si>
    <t>5_16_87_471</t>
  </si>
  <si>
    <t>5_16_87_472</t>
  </si>
  <si>
    <t>5_16_87_473</t>
  </si>
  <si>
    <t>5_16_87_474</t>
  </si>
  <si>
    <t>5_16_88_475</t>
  </si>
  <si>
    <t>5_16_88_476</t>
  </si>
  <si>
    <t>5_16_88_477</t>
  </si>
  <si>
    <t>5_16_88_478</t>
  </si>
  <si>
    <t>5_16_89_479</t>
  </si>
  <si>
    <t>5_16_89_480</t>
  </si>
  <si>
    <t>5_16_89_481</t>
  </si>
  <si>
    <t>5_16_89_482</t>
  </si>
  <si>
    <t>5_16_90_483</t>
  </si>
  <si>
    <t>8_28_125_775</t>
  </si>
  <si>
    <t>8_28_125_776</t>
  </si>
  <si>
    <t>8_28_125_778</t>
  </si>
  <si>
    <t>8_28_125_779</t>
  </si>
  <si>
    <t>8_28_125_781</t>
  </si>
  <si>
    <t>8_28_125_782</t>
  </si>
  <si>
    <t>8_28_125_784</t>
  </si>
  <si>
    <t>8_28_125_785</t>
  </si>
  <si>
    <t>8_28_125_2805</t>
  </si>
  <si>
    <t>8_28_125_2806</t>
  </si>
  <si>
    <t>8_28_125_787</t>
  </si>
  <si>
    <t>8_28_125_788</t>
  </si>
  <si>
    <t>8_28_125_2970</t>
  </si>
  <si>
    <t>8_28_125_2969</t>
  </si>
  <si>
    <t>8_28_125_2818</t>
  </si>
  <si>
    <t>8_28_125_2819</t>
  </si>
  <si>
    <t>8_28_125_2821</t>
  </si>
  <si>
    <t>8_28_125_2822</t>
  </si>
  <si>
    <t>8_28_125_2824</t>
  </si>
  <si>
    <t>8_28_125_2825</t>
  </si>
  <si>
    <t>8_28_126_790</t>
  </si>
  <si>
    <t>8_28_126_793</t>
  </si>
  <si>
    <t>8_28_126_794</t>
  </si>
  <si>
    <t>8_29_127_796</t>
  </si>
  <si>
    <t>8_29_127_797</t>
  </si>
  <si>
    <t>8_29_127_798</t>
  </si>
  <si>
    <t>8_29_127_799</t>
  </si>
  <si>
    <t>8_29_127_800</t>
  </si>
  <si>
    <t>8_29_127_801</t>
  </si>
  <si>
    <t>8_29_127_802</t>
  </si>
  <si>
    <t>8_29_127_803</t>
  </si>
  <si>
    <t>8_29_127_805</t>
  </si>
  <si>
    <t>8_29_127_806</t>
  </si>
  <si>
    <t>8_29_127_807</t>
  </si>
  <si>
    <t>8_29_127_808</t>
  </si>
  <si>
    <t>8_29_127_809</t>
  </si>
  <si>
    <t>8_29_127_810</t>
  </si>
  <si>
    <t>8_29_127_812</t>
  </si>
  <si>
    <t>8_29_127_811</t>
  </si>
  <si>
    <t>2_76_182_2582</t>
  </si>
  <si>
    <t>2_76_182_2583</t>
  </si>
  <si>
    <t>2_76_182_2584</t>
  </si>
  <si>
    <t>2_76_182_2585</t>
  </si>
  <si>
    <t>2_76_182_2586</t>
  </si>
  <si>
    <t>2_76_182_2587</t>
  </si>
  <si>
    <t>2_76_182_2588</t>
  </si>
  <si>
    <t>2_76_182_2589</t>
  </si>
  <si>
    <t>2_76_182_2590</t>
  </si>
  <si>
    <t>2_76_182_2591</t>
  </si>
  <si>
    <t>2_76_182_2592</t>
  </si>
  <si>
    <t>2_76_182_2593</t>
  </si>
  <si>
    <t>2_76_182_2594</t>
  </si>
  <si>
    <t>2_76_182_2595</t>
  </si>
  <si>
    <t>2_76_182_2596</t>
  </si>
  <si>
    <t>2_76_182_2597</t>
  </si>
  <si>
    <t>2_76_182_2598</t>
  </si>
  <si>
    <t>2_76_182_2599</t>
  </si>
  <si>
    <t>2_76_182_2600</t>
  </si>
  <si>
    <t>2_76_182_2601</t>
  </si>
  <si>
    <t>2_76_182_2602</t>
  </si>
  <si>
    <t>2_76_182_2603</t>
  </si>
  <si>
    <t>2_76_182_2604</t>
  </si>
  <si>
    <t>2_76_182_2605</t>
  </si>
  <si>
    <t>2_76_182_2606</t>
  </si>
  <si>
    <t>2_76_182_2607</t>
  </si>
  <si>
    <t>2_76_182_2608</t>
  </si>
  <si>
    <t>2_76_182_2609</t>
  </si>
  <si>
    <t>2_76_182_2610</t>
  </si>
  <si>
    <t>2_76_182_2611</t>
  </si>
  <si>
    <t>2_76_182_2612</t>
  </si>
  <si>
    <t>2_76_182_2613</t>
  </si>
  <si>
    <t>2_76_182_2614</t>
  </si>
  <si>
    <t>2_76_182_2615</t>
  </si>
  <si>
    <t>2_76_182_2616</t>
  </si>
  <si>
    <t>2_76_182_2617</t>
  </si>
  <si>
    <t>2_76_182_2618</t>
  </si>
  <si>
    <t>2_76_182_2619</t>
  </si>
  <si>
    <t>2_76_182_2620</t>
  </si>
  <si>
    <t>2_7_46_173</t>
  </si>
  <si>
    <t>2_7_46_174</t>
  </si>
  <si>
    <t>2_7_46_175</t>
  </si>
  <si>
    <t>2_7_46_176</t>
  </si>
  <si>
    <t>2_7_46_177</t>
  </si>
  <si>
    <t>2_7_46_178</t>
  </si>
  <si>
    <t>2_7_46_179</t>
  </si>
  <si>
    <t>2_7_46_180</t>
  </si>
  <si>
    <t>2_7_46_181</t>
  </si>
  <si>
    <t>2_7_46_182</t>
  </si>
  <si>
    <t>2_7_46_183</t>
  </si>
  <si>
    <t>2_7_46_184</t>
  </si>
  <si>
    <t>2_7_46_185</t>
  </si>
  <si>
    <t>2_7_46_186</t>
  </si>
  <si>
    <t>2_7_46_187</t>
  </si>
  <si>
    <t>2_7_46_188</t>
  </si>
  <si>
    <t>2_7_46_189</t>
  </si>
  <si>
    <t>2_7_46_190</t>
  </si>
  <si>
    <t>2_7_46_191</t>
  </si>
  <si>
    <t>2_7_46_192</t>
  </si>
  <si>
    <t>2_7_46_193</t>
  </si>
  <si>
    <t>2_7_46_194</t>
  </si>
  <si>
    <t>2_7_46_195</t>
  </si>
  <si>
    <t>2_7_46_196</t>
  </si>
  <si>
    <t>2_7_46_197</t>
  </si>
  <si>
    <t>2_7_46_198</t>
  </si>
  <si>
    <t>2_7_46_199</t>
  </si>
  <si>
    <t>2_7_46_200</t>
  </si>
  <si>
    <t>2_7_46_201</t>
  </si>
  <si>
    <t>2_7_46_202</t>
  </si>
  <si>
    <t>2_7_46_203</t>
  </si>
  <si>
    <t>2_7_46_204</t>
  </si>
  <si>
    <t>2_7_46_205</t>
  </si>
  <si>
    <t>2_7_46_206</t>
  </si>
  <si>
    <t>2_7_46_207</t>
  </si>
  <si>
    <t>2_7_46_208</t>
  </si>
  <si>
    <t>2_7_46_209</t>
  </si>
  <si>
    <t>2_7_46_210</t>
  </si>
  <si>
    <t>2_7_46_211</t>
  </si>
  <si>
    <t>2_8_47_213</t>
  </si>
  <si>
    <t>2_8_47_214</t>
  </si>
  <si>
    <t>2_8_47_215</t>
  </si>
  <si>
    <t>2_8_47_216</t>
  </si>
  <si>
    <t>2_8_47_217</t>
  </si>
  <si>
    <t>2_8_47_218</t>
  </si>
  <si>
    <t>2_8_47_219</t>
  </si>
  <si>
    <t>2_8_47_220</t>
  </si>
  <si>
    <t>2_8_47_221</t>
  </si>
  <si>
    <t>2_8_47_222</t>
  </si>
  <si>
    <t>2_8_47_223</t>
  </si>
  <si>
    <t>2_8_47_224</t>
  </si>
  <si>
    <t>2_8_47_225</t>
  </si>
  <si>
    <t>2_8_47_226</t>
  </si>
  <si>
    <t>2_8_47_227</t>
  </si>
  <si>
    <t>2_8_47_228</t>
  </si>
  <si>
    <t>2_8_47_229</t>
  </si>
  <si>
    <t>2_8_47_230</t>
  </si>
  <si>
    <t>2_8_47_231</t>
  </si>
  <si>
    <t>2_8_47_232</t>
  </si>
  <si>
    <t>2_8_47_233</t>
  </si>
  <si>
    <t>2_8_47_234</t>
  </si>
  <si>
    <t>2_8_47_235</t>
  </si>
  <si>
    <t>2_8_47_236</t>
  </si>
  <si>
    <t>2_8_47_237</t>
  </si>
  <si>
    <t>2_8_47_238</t>
  </si>
  <si>
    <t>2_8_47_239</t>
  </si>
  <si>
    <t>2_8_47_240</t>
  </si>
  <si>
    <t>2_8_47_241</t>
  </si>
  <si>
    <t>2_8_47_242</t>
  </si>
  <si>
    <t>2_8_47_243</t>
  </si>
  <si>
    <t>2_8_47_244</t>
  </si>
  <si>
    <t>2_8_47_245</t>
  </si>
  <si>
    <t>2_8_47_246</t>
  </si>
  <si>
    <t>2_8_47_247</t>
  </si>
  <si>
    <t>2_8_47_248</t>
  </si>
  <si>
    <t>2_8_47_249</t>
  </si>
  <si>
    <t>2_8_47_250</t>
  </si>
  <si>
    <t>2_8_47_251</t>
  </si>
  <si>
    <t>4_13_60_318</t>
  </si>
  <si>
    <t>4_13_60_319</t>
  </si>
  <si>
    <t>4_13_60_320</t>
  </si>
  <si>
    <t>4_13_60_322</t>
  </si>
  <si>
    <t>4_13_60_323</t>
  </si>
  <si>
    <t>4_13_60_321</t>
  </si>
  <si>
    <t>4_13_60_324</t>
  </si>
  <si>
    <t>4_13_60_325</t>
  </si>
  <si>
    <t>4_13_60_3019</t>
  </si>
  <si>
    <t>4_13_60_326</t>
  </si>
  <si>
    <t>4_13_60_327</t>
  </si>
  <si>
    <t>4_13_60_2794</t>
  </si>
  <si>
    <t>4_13_60_2795</t>
  </si>
  <si>
    <t>4_13_60_2796</t>
  </si>
  <si>
    <t>4_13_60_2797</t>
  </si>
  <si>
    <t>4_13_60_2798</t>
  </si>
  <si>
    <t>4_13_60_2799</t>
  </si>
  <si>
    <t>4_13_60_2800</t>
  </si>
  <si>
    <t>4_13_60_2801</t>
  </si>
  <si>
    <t>4_13_60_3018</t>
  </si>
  <si>
    <t>4_14_63_349</t>
  </si>
  <si>
    <t>4_14_64_3021</t>
  </si>
  <si>
    <t>4_14_64_3022</t>
  </si>
  <si>
    <t>4_14_64_350</t>
  </si>
  <si>
    <t>4_14_64_2803</t>
  </si>
  <si>
    <t>4_13_61_329</t>
  </si>
  <si>
    <t>4_13_61_333</t>
  </si>
  <si>
    <t>4_13_61_338</t>
  </si>
  <si>
    <t>4_13_61_339</t>
  </si>
  <si>
    <t>4_13_61_334</t>
  </si>
  <si>
    <t>4_13_61_340</t>
  </si>
  <si>
    <t>4_13_61_341</t>
  </si>
  <si>
    <t>4_13_61_330</t>
  </si>
  <si>
    <t>4_13_61_335</t>
  </si>
  <si>
    <t>4_13_61_342</t>
  </si>
  <si>
    <t>4_13_61_331</t>
  </si>
  <si>
    <t>4_13_61_336</t>
  </si>
  <si>
    <t>4_13_61_343</t>
  </si>
  <si>
    <t>4_13_62_344</t>
  </si>
  <si>
    <t>4_13_62_345</t>
  </si>
  <si>
    <t>4_13_62_346</t>
  </si>
  <si>
    <t>4_13_62_347</t>
  </si>
  <si>
    <t>4_13_62_348</t>
  </si>
  <si>
    <t>Yes or No</t>
  </si>
  <si>
    <t>6_19_102_536</t>
  </si>
  <si>
    <t>6_19_102_540</t>
  </si>
  <si>
    <t>6_19_102_541</t>
  </si>
  <si>
    <t>6_19_102_543</t>
  </si>
  <si>
    <t>6_19_102_544</t>
  </si>
  <si>
    <t>6_19_102_546</t>
  </si>
  <si>
    <t>6_19_102_547</t>
  </si>
  <si>
    <t>6_19_102_549</t>
  </si>
  <si>
    <t>6_19_102_550</t>
  </si>
  <si>
    <t>6_19_102_552</t>
  </si>
  <si>
    <t>6_19_102_553</t>
  </si>
  <si>
    <t>6_19_102_556</t>
  </si>
  <si>
    <t>6_19_102_557</t>
  </si>
  <si>
    <t>6_19_102_559</t>
  </si>
  <si>
    <t>6_19_102_561</t>
  </si>
  <si>
    <t>6_19_102_562</t>
  </si>
  <si>
    <t>6_19_102_564</t>
  </si>
  <si>
    <t>6_19_102_565</t>
  </si>
  <si>
    <t>6_19_102_567</t>
  </si>
  <si>
    <t>6_19_102_568</t>
  </si>
  <si>
    <t>6_19_102_570</t>
  </si>
  <si>
    <t>6_19_102_571</t>
  </si>
  <si>
    <t>6_19_102_573</t>
  </si>
  <si>
    <t>6_19_102_574</t>
  </si>
  <si>
    <t>6_19_106_624</t>
  </si>
  <si>
    <t>6_19_106_625</t>
  </si>
  <si>
    <t>6_19_106_626</t>
  </si>
  <si>
    <t>6_19_106_628</t>
  </si>
  <si>
    <t>6_19_106_629</t>
  </si>
  <si>
    <t>6_19_106_630</t>
  </si>
  <si>
    <t>6_19_106_632</t>
  </si>
  <si>
    <t>6_19_106_633</t>
  </si>
  <si>
    <t>6_19_106_634</t>
  </si>
  <si>
    <t>6_19_106_636</t>
  </si>
  <si>
    <t>6_19_106_637</t>
  </si>
  <si>
    <t>6_19_106_638</t>
  </si>
  <si>
    <t>6_19_106_640</t>
  </si>
  <si>
    <t>6_19_106_641</t>
  </si>
  <si>
    <t>6_19_106_642</t>
  </si>
  <si>
    <t>6_19_106_644</t>
  </si>
  <si>
    <t>6_19_106_645</t>
  </si>
  <si>
    <t>6_19_106_646</t>
  </si>
  <si>
    <t>6_19_106_648</t>
  </si>
  <si>
    <t>6_19_106_649</t>
  </si>
  <si>
    <t>6_19_106_650</t>
  </si>
  <si>
    <t>6_19_106_652</t>
  </si>
  <si>
    <t>6_19_106_653</t>
  </si>
  <si>
    <t>6_19_106_654</t>
  </si>
  <si>
    <t>6_19_106_656</t>
  </si>
  <si>
    <t>6_19_106_657</t>
  </si>
  <si>
    <t>6_19_106_658</t>
  </si>
  <si>
    <t>6_19_106_660</t>
  </si>
  <si>
    <t>6_19_106_661</t>
  </si>
  <si>
    <t>6_19_106_662</t>
  </si>
  <si>
    <t>6_19_106_664</t>
  </si>
  <si>
    <t>6_19_106_665</t>
  </si>
  <si>
    <t>6_19_106_666</t>
  </si>
  <si>
    <t>6_19_106_668</t>
  </si>
  <si>
    <t>6_19_106_669</t>
  </si>
  <si>
    <t>6_19_106_670</t>
  </si>
  <si>
    <t>6_19_106_672</t>
  </si>
  <si>
    <t>6_19_106_673</t>
  </si>
  <si>
    <t>6_19_106_674</t>
  </si>
  <si>
    <t>6_19_107_676</t>
  </si>
  <si>
    <t>6_19_107_677</t>
  </si>
  <si>
    <t>6_19_107_678</t>
  </si>
  <si>
    <t>6_19_107_680</t>
  </si>
  <si>
    <t>6_19_107_681</t>
  </si>
  <si>
    <t>6_19_107_682</t>
  </si>
  <si>
    <t>6_19_107_684</t>
  </si>
  <si>
    <t>6_19_107_685</t>
  </si>
  <si>
    <t>6_19_107_686</t>
  </si>
  <si>
    <t>6_19_107_688</t>
  </si>
  <si>
    <t>6_19_107_689</t>
  </si>
  <si>
    <t>6_19_107_690</t>
  </si>
  <si>
    <t>6_19_121_745</t>
  </si>
  <si>
    <t>6_19_114_714</t>
  </si>
  <si>
    <t>6_19_114_715</t>
  </si>
  <si>
    <t>6_19_114_716</t>
  </si>
  <si>
    <t>6_19_114_718</t>
  </si>
  <si>
    <t>6_19_114_719</t>
  </si>
  <si>
    <t>6_19_114_720</t>
  </si>
  <si>
    <t>6_19_114_722</t>
  </si>
  <si>
    <t>6_19_114_723</t>
  </si>
  <si>
    <t>6_19_114_724</t>
  </si>
  <si>
    <t>6_19_114_726</t>
  </si>
  <si>
    <t>6_19_114_727</t>
  </si>
  <si>
    <t>6_19_114_728</t>
  </si>
  <si>
    <t>6_19_114_730</t>
  </si>
  <si>
    <t>6_19_114_731</t>
  </si>
  <si>
    <t>6_19_114_732</t>
  </si>
  <si>
    <t>6_20_104_596</t>
  </si>
  <si>
    <t>6_20_104_597</t>
  </si>
  <si>
    <t>6_20_104_598</t>
  </si>
  <si>
    <t>6_20_104_599</t>
  </si>
  <si>
    <t>6_20_104_600</t>
  </si>
  <si>
    <t>6_20_104_601</t>
  </si>
  <si>
    <t>6_77_108_691</t>
  </si>
  <si>
    <t>6_77_108_692</t>
  </si>
  <si>
    <t>6_77_109_693</t>
  </si>
  <si>
    <t>6_77_109_694</t>
  </si>
  <si>
    <t>6_77_109_695</t>
  </si>
  <si>
    <t>6_77_110_696</t>
  </si>
  <si>
    <t>6_77_110_697</t>
  </si>
  <si>
    <t>6_77_110_698</t>
  </si>
  <si>
    <t>6_77_187_2713</t>
  </si>
  <si>
    <t>6_77_187_2714</t>
  </si>
  <si>
    <t>6_77_190_2809</t>
  </si>
  <si>
    <t>6_77_190_2810</t>
  </si>
  <si>
    <t>6_77_190_2813</t>
  </si>
  <si>
    <t>6_77_190_2812</t>
  </si>
  <si>
    <t>6_77_185_2696</t>
  </si>
  <si>
    <t>6_77_185_2697</t>
  </si>
  <si>
    <t>6_77_113_711</t>
  </si>
  <si>
    <t>6_77_113_712</t>
  </si>
  <si>
    <t>Select your high school completion requirement for degree-seeking entering students:</t>
  </si>
  <si>
    <t>Classify your undergraduate institution (select one):</t>
  </si>
  <si>
    <t>Academic year calendar (select one):</t>
  </si>
  <si>
    <t>1_6_40_155</t>
  </si>
  <si>
    <t>1_6_41_156</t>
  </si>
  <si>
    <t>1_6_41_157</t>
  </si>
  <si>
    <t>1_6_42_159</t>
  </si>
  <si>
    <t>1_6_42_160</t>
  </si>
  <si>
    <t>1_6_42_161</t>
  </si>
  <si>
    <t>1_6_42_162</t>
  </si>
  <si>
    <t>1_6_42_163</t>
  </si>
  <si>
    <t>1_6_42_164</t>
  </si>
  <si>
    <t>1_6_43_165</t>
  </si>
  <si>
    <t>1_6_44_166</t>
  </si>
  <si>
    <t>1_6_45_168</t>
  </si>
  <si>
    <t>1_6_45_169</t>
  </si>
  <si>
    <t>1_6_45_170</t>
  </si>
  <si>
    <t>1_6_45_171</t>
  </si>
  <si>
    <t>1_6_45_172</t>
  </si>
  <si>
    <t>1_6_45_2954</t>
  </si>
  <si>
    <t>1_6_45_2955</t>
  </si>
  <si>
    <t>1_6_45_2956</t>
  </si>
  <si>
    <t>1_6_45_2957</t>
  </si>
  <si>
    <t>1_6_45_2958</t>
  </si>
  <si>
    <t>1_6_45_2961</t>
  </si>
  <si>
    <t>1_6_45_2963</t>
  </si>
  <si>
    <t>1_6_45_2965</t>
  </si>
  <si>
    <t>1_6_45_2967</t>
  </si>
  <si>
    <t>1_6_45_2959</t>
  </si>
  <si>
    <t>1_6_45_2962</t>
  </si>
  <si>
    <t>1_6_45_2964</t>
  </si>
  <si>
    <t>1_6_45_2966</t>
  </si>
  <si>
    <t>1_6_45_2968</t>
  </si>
  <si>
    <t>1_6_45_2960</t>
  </si>
  <si>
    <t>1_6_32_143</t>
  </si>
  <si>
    <t>1_6_34_145</t>
  </si>
  <si>
    <t>1_6_35_147</t>
  </si>
  <si>
    <t>1_6_35_148</t>
  </si>
  <si>
    <t>1_6_36_150</t>
  </si>
  <si>
    <t>1_6_36_151</t>
  </si>
  <si>
    <t>1_6_37_152</t>
  </si>
  <si>
    <t>1_6_38_153</t>
  </si>
  <si>
    <t>1_6_39_154</t>
  </si>
  <si>
    <t>1_5_28_135</t>
  </si>
  <si>
    <t>1_5_28_136</t>
  </si>
  <si>
    <t>1_5_29_138</t>
  </si>
  <si>
    <t>1_5_29_139</t>
  </si>
  <si>
    <t>1_5_30_140</t>
  </si>
  <si>
    <t>1_5_30_141</t>
  </si>
  <si>
    <t>1_5_31_142</t>
  </si>
  <si>
    <t>1_2_11_2748</t>
  </si>
  <si>
    <t>1_5_27_130</t>
  </si>
  <si>
    <t>A6</t>
  </si>
  <si>
    <t>Diversity, Equity, and Inclusion</t>
  </si>
  <si>
    <t>Another Gender</t>
  </si>
  <si>
    <t>•     New guidance from IPEDS for reporting aggregate data:</t>
  </si>
  <si>
    <t>Racial/ethnic designations are requested only for United States citizens, residents, and other eligible non-citizens.
Eligible non-citizens include all students who completed high school or a GED equivalency within the United States (including DACA and undocumented students) and who were not on an F-1 non-immigrant student visa at the time of high school graduation.</t>
  </si>
  <si>
    <t xml:space="preserve">More information about other eligible (for financial aid purposes) non-citizens is available at https://studentaid.gov/understandaid/eligibility/requirements/non-us-citizens.
Nonresident – A person who is not a citizen or national of the United States and who is in this country on a student visa or temporary basis and does not have the right to remain indefinitely. Do not include DACA, undocumented, or other eligible noncitizens in this category. </t>
  </si>
  <si>
    <t>NOTE - Nonresidents are to be reported separately, in the boxes provided, rather than included in
any of the seven racial/ethnic categories or in race/ethnicity unknown.</t>
  </si>
  <si>
    <t>Nonresidents</t>
  </si>
  <si>
    <t xml:space="preserve">•     Include international students only in the category "Nonresidents." </t>
  </si>
  <si>
    <t>Total first-time, first-year men who applied</t>
  </si>
  <si>
    <t>Total first-time, first-year women who applied</t>
  </si>
  <si>
    <t xml:space="preserve">Total first-time, first-year of another gender who applied </t>
  </si>
  <si>
    <t>•     If your institution collects and reports non-binary gender data, please use the "Another Gender" category.</t>
  </si>
  <si>
    <t>Total first-time, first-year of another gender who were admitted</t>
  </si>
  <si>
    <t>Total first-time, first-year men who were admitted</t>
  </si>
  <si>
    <t>Total first-time, first-year women who were admitted</t>
  </si>
  <si>
    <t>Total full-time, first-time, first-year men who enrolled</t>
  </si>
  <si>
    <t>Total part-time, first-time, first-year men who enrolled</t>
  </si>
  <si>
    <t>Total full-time, first-time, first-year women who enrolled</t>
  </si>
  <si>
    <t>Total part-time, first-time, first-year women who enrolled</t>
  </si>
  <si>
    <t>Total full-time, first-time, first-year of another gender who enrolled</t>
  </si>
  <si>
    <t>Total part-time, first-time, first-year of another gender who enrolled</t>
  </si>
  <si>
    <t>C. FIRST-TIME, FIRST-YEAR ADMISSION</t>
  </si>
  <si>
    <t>•     Since the total may include students who did not provide gender data, the detail need not sum to the total.</t>
  </si>
  <si>
    <t xml:space="preserve">First-time, first-year wait-listed students </t>
  </si>
  <si>
    <t>C6-C7: Basis for Selection</t>
  </si>
  <si>
    <t>C6</t>
  </si>
  <si>
    <t>Do you have an open admission policy, under which virtually all secondary school graduates or students with GED equivalency diplomas are admitted without regard to academic record, test scores, or other qualifications? If so, check which applies:</t>
  </si>
  <si>
    <t xml:space="preserve">Open admission policy as described above for all students </t>
  </si>
  <si>
    <t>Open admission policy as described above for most students, but--</t>
  </si>
  <si>
    <t>selective admission for out-of-state students</t>
  </si>
  <si>
    <t>selective admission to some programs</t>
  </si>
  <si>
    <t>other (explain):</t>
  </si>
  <si>
    <t>C7</t>
  </si>
  <si>
    <t>Very Important</t>
  </si>
  <si>
    <t>Important</t>
  </si>
  <si>
    <t>Considered</t>
  </si>
  <si>
    <t>Not Considered</t>
  </si>
  <si>
    <t>Academic</t>
  </si>
  <si>
    <t>Rigor of secondary school record</t>
  </si>
  <si>
    <t>Class rank</t>
  </si>
  <si>
    <t xml:space="preserve">   Academic GPA</t>
  </si>
  <si>
    <t>Application Essay</t>
  </si>
  <si>
    <t>Recommendation(s)</t>
  </si>
  <si>
    <t>Nonacademic</t>
  </si>
  <si>
    <t>Extracurricular activities</t>
  </si>
  <si>
    <t>Talent/ability</t>
  </si>
  <si>
    <t>Character/personal qualities</t>
  </si>
  <si>
    <t xml:space="preserve">First generation </t>
  </si>
  <si>
    <t>Alumni/ae relation</t>
  </si>
  <si>
    <t>Geographical residence</t>
  </si>
  <si>
    <t>State residency</t>
  </si>
  <si>
    <t>Religious affiliation/commitment</t>
  </si>
  <si>
    <t>Racial/ethnic status</t>
  </si>
  <si>
    <t>Volunteer work</t>
  </si>
  <si>
    <t>Work experience</t>
  </si>
  <si>
    <t>Level of applicant’s interest</t>
  </si>
  <si>
    <t>C8: SAT and ACT Policies</t>
  </si>
  <si>
    <t xml:space="preserve">Entrance exams </t>
  </si>
  <si>
    <t>C8A</t>
  </si>
  <si>
    <t>ADMISSION</t>
  </si>
  <si>
    <t>Require for Some</t>
  </si>
  <si>
    <t>Consider if Submitted</t>
  </si>
  <si>
    <t>SAT or ACT</t>
  </si>
  <si>
    <t>ACT Only</t>
  </si>
  <si>
    <t>SAT Only</t>
  </si>
  <si>
    <t>SAT and SAT Subject Tests or ACT</t>
  </si>
  <si>
    <t>SAT Subject Tests</t>
  </si>
  <si>
    <t>C8B</t>
  </si>
  <si>
    <t>ACT with writing required</t>
  </si>
  <si>
    <t>ACT with writing recommended</t>
  </si>
  <si>
    <t>ACT with or without writing accepted</t>
  </si>
  <si>
    <t>SAT with Essay component required</t>
  </si>
  <si>
    <t>SAT with Essay component recommended</t>
  </si>
  <si>
    <t>SAT with or without Essay component accepted</t>
  </si>
  <si>
    <t>•     Note that recent high school graduates and other students without prior postsecondary experience will still be considered "first-time students" for fall 
      enrollment reporting purposes even if they enrolled in the summer prior to fall enrollment.</t>
  </si>
  <si>
    <r>
      <t xml:space="preserve">If yes, place check marks in the appropriate boxes below to reflect your institution’s policies for use in admission for </t>
    </r>
    <r>
      <rPr>
        <b/>
        <sz val="12"/>
        <rFont val="Arial"/>
        <family val="2"/>
      </rPr>
      <t xml:space="preserve">Fall </t>
    </r>
    <r>
      <rPr>
        <b/>
        <sz val="12"/>
        <color rgb="FF00B050"/>
        <rFont val="Arial"/>
        <family val="2"/>
      </rPr>
      <t>2023</t>
    </r>
    <r>
      <rPr>
        <b/>
        <sz val="12"/>
        <rFont val="Arial"/>
        <family val="2"/>
      </rPr>
      <t>.</t>
    </r>
  </si>
  <si>
    <r>
      <t xml:space="preserve">If your institution will make use of the ACT in admission decisions for first-time, first-year, degree-seeking applicants for </t>
    </r>
    <r>
      <rPr>
        <b/>
        <sz val="12"/>
        <rFont val="Arial"/>
        <family val="2"/>
      </rPr>
      <t xml:space="preserve">Fall </t>
    </r>
    <r>
      <rPr>
        <b/>
        <sz val="12"/>
        <color rgb="FF00B050"/>
        <rFont val="Arial"/>
        <family val="2"/>
      </rPr>
      <t>2023</t>
    </r>
    <r>
      <rPr>
        <sz val="12"/>
        <rFont val="Arial"/>
        <family val="2"/>
      </rPr>
      <t xml:space="preserve"> please indicate which ONE of the following applies (regardless of whether the writing score will be used in the admissions process):</t>
    </r>
  </si>
  <si>
    <r>
      <t xml:space="preserve">If your institution will make use of the SAT in admission decisions for first-time, first-year, degree-seeking applicants for </t>
    </r>
    <r>
      <rPr>
        <b/>
        <sz val="12"/>
        <color indexed="8"/>
        <rFont val="Arial"/>
        <family val="2"/>
      </rPr>
      <t xml:space="preserve">Fall </t>
    </r>
    <r>
      <rPr>
        <b/>
        <sz val="12"/>
        <color rgb="FF00B050"/>
        <rFont val="Arial"/>
        <family val="2"/>
      </rPr>
      <t>2023</t>
    </r>
    <r>
      <rPr>
        <sz val="12"/>
        <color indexed="8"/>
        <rFont val="Arial"/>
        <family val="2"/>
      </rPr>
      <t xml:space="preserve"> please indicate which ONE of the following applies (regardless of whether the Essay score will be used in the admissions process):</t>
    </r>
  </si>
  <si>
    <r>
      <t xml:space="preserve">Does your institution make use of SAT, ACT, or SAT Subject Test scores in </t>
    </r>
    <r>
      <rPr>
        <b/>
        <sz val="12"/>
        <color indexed="8"/>
        <rFont val="Arial"/>
        <family val="2"/>
      </rPr>
      <t>admission</t>
    </r>
    <r>
      <rPr>
        <sz val="12"/>
        <color indexed="8"/>
        <rFont val="Arial"/>
        <family val="2"/>
      </rPr>
      <t xml:space="preserve"> decisions for first-time, first-year, degree-seeking applicants?   </t>
    </r>
  </si>
  <si>
    <t>C8D</t>
  </si>
  <si>
    <t>In addition, does your institution use applicants' test scores for academic advising?</t>
  </si>
  <si>
    <t>C8E</t>
  </si>
  <si>
    <t>Latest date by which SAT or ACT scores must be received for fall-term admission</t>
  </si>
  <si>
    <t>Latest date by which SAT Subject Test scores must be received for fall-term admission</t>
  </si>
  <si>
    <t>C8F</t>
  </si>
  <si>
    <t>C8G</t>
  </si>
  <si>
    <t>SAT</t>
  </si>
  <si>
    <t>ACT</t>
  </si>
  <si>
    <t>AP</t>
  </si>
  <si>
    <t>CLEP</t>
  </si>
  <si>
    <t>Institutional Exam</t>
  </si>
  <si>
    <t>State Exam (specify):</t>
  </si>
  <si>
    <t>C9</t>
  </si>
  <si>
    <t>Percent</t>
  </si>
  <si>
    <t>Submitting SAT Scores</t>
  </si>
  <si>
    <t>Submitting ACT Scores</t>
  </si>
  <si>
    <t>Assessment</t>
  </si>
  <si>
    <t>25th Percentile</t>
  </si>
  <si>
    <t>75th Percentile</t>
  </si>
  <si>
    <t>SAT Composite</t>
  </si>
  <si>
    <t>SAT Evidence-Based Reading and Writing</t>
  </si>
  <si>
    <t>SAT Math</t>
  </si>
  <si>
    <t>ACT Composite</t>
  </si>
  <si>
    <t>ACT Math</t>
  </si>
  <si>
    <t>ACT English</t>
  </si>
  <si>
    <t>ACT Writing</t>
  </si>
  <si>
    <t>Score Range</t>
  </si>
  <si>
    <t>700-800</t>
  </si>
  <si>
    <t>600-699</t>
  </si>
  <si>
    <t>500-599</t>
  </si>
  <si>
    <t>400-499</t>
  </si>
  <si>
    <t>300-399</t>
  </si>
  <si>
    <t>200-299</t>
  </si>
  <si>
    <t>Totals should = 100%</t>
  </si>
  <si>
    <t>1400-1600</t>
  </si>
  <si>
    <t>1200-1399</t>
  </si>
  <si>
    <t>1000-1199</t>
  </si>
  <si>
    <r>
      <t xml:space="preserve">Please indicate which tests your institution uses for </t>
    </r>
    <r>
      <rPr>
        <b/>
        <sz val="12"/>
        <color indexed="8"/>
        <rFont val="Arial"/>
        <family val="2"/>
      </rPr>
      <t>placement (e.g., state tests):</t>
    </r>
  </si>
  <si>
    <r>
      <t xml:space="preserve">•     </t>
    </r>
    <r>
      <rPr>
        <sz val="12"/>
        <color indexed="8"/>
        <rFont val="Arial"/>
        <family val="2"/>
      </rPr>
      <t>Do not include partial test scores (e.g., mathematics scores but not critical reading for a category of 
      students) or combine other standardized test results (such as TOEFL) in this item.</t>
    </r>
  </si>
  <si>
    <r>
      <t xml:space="preserve">•     </t>
    </r>
    <r>
      <rPr>
        <sz val="12"/>
        <color indexed="8"/>
        <rFont val="Arial"/>
        <family val="2"/>
      </rPr>
      <t>Do not convert SAT scores to ACT scores and vice versa.</t>
    </r>
  </si>
  <si>
    <r>
      <t xml:space="preserve">•     </t>
    </r>
    <r>
      <rPr>
        <sz val="12"/>
        <color indexed="8"/>
        <rFont val="Arial"/>
        <family val="2"/>
      </rPr>
      <t>If a student submitted multiple sets of scores for a single test, report this information according to how 
      you use the data. For example:</t>
    </r>
  </si>
  <si>
    <t>Percent of first-time, first-year students with scores in each range:</t>
  </si>
  <si>
    <t>50th Percentile</t>
  </si>
  <si>
    <t>For each assessment listed below, report the score that represents the 25th percentile (the score that 25 percent of the first-year population scored at or below), the 50th percentile (the score that 50 percent scored at or below), and the 75th percentile score (the score that 25 percent scored at or above).</t>
  </si>
  <si>
    <r>
      <t xml:space="preserve">•     Include information for </t>
    </r>
    <r>
      <rPr>
        <b/>
        <sz val="12"/>
        <color indexed="8"/>
        <rFont val="Arial"/>
        <family val="2"/>
      </rPr>
      <t>ALL enrolled, degree-seeking, first-time, first-year students 
      who submitted test scores.</t>
    </r>
  </si>
  <si>
    <t>C9-C12: First-Year Profile</t>
  </si>
  <si>
    <t>800-999</t>
  </si>
  <si>
    <t>600-799</t>
  </si>
  <si>
    <t>400-599</t>
  </si>
  <si>
    <t>30-36</t>
  </si>
  <si>
    <t>24-29</t>
  </si>
  <si>
    <t>18-23</t>
  </si>
  <si>
    <t>12-17</t>
  </si>
  <si>
    <t>6-11</t>
  </si>
  <si>
    <t>Below 6</t>
  </si>
  <si>
    <t>C10</t>
  </si>
  <si>
    <t>Percent of all degree-seeking, first-time, first-year (freshman) students who had high school class rank within each of the following ranges (report information for those students from whom you collected high school rank information)</t>
  </si>
  <si>
    <t>Percent in top tenth of high school graduating class</t>
  </si>
  <si>
    <t>Percent in top quarter of high school graduating class</t>
  </si>
  <si>
    <t>Percent in top half of high school graduating class</t>
  </si>
  <si>
    <t xml:space="preserve">Top half + </t>
  </si>
  <si>
    <t>Percent in bottom half of high school graduating class</t>
  </si>
  <si>
    <t>bottom half = 100%</t>
  </si>
  <si>
    <t>Percent in bottom quarter of high school graduating class</t>
  </si>
  <si>
    <t>Percent of total first-time, first-year (freshmen) students who submitted high school class rank:</t>
  </si>
  <si>
    <t>C11</t>
  </si>
  <si>
    <t>Percentage of all enrolled, degree-seeking, first-time, first-year (freshman) students who had high school grade-point averages within each of the following ranges (using 4.0 scale).  Report information only for those students from whom you collected high school GPA.</t>
  </si>
  <si>
    <t>Percent who had GPA of 4.0</t>
  </si>
  <si>
    <t>Percent who had GPA between 3.75 and 3.99</t>
  </si>
  <si>
    <t>Percent who had GPA between 3.50 and 3.74</t>
  </si>
  <si>
    <t>Percent who had GPA between 3.25 and 3.49</t>
  </si>
  <si>
    <t>Percent who had GPA between 3.00 and 3.24</t>
  </si>
  <si>
    <t>Percent who had GPA between 2.50 and 2.99</t>
  </si>
  <si>
    <t>Percent who had GPA between 2.0 and 2.49</t>
  </si>
  <si>
    <t>Percent who had GPA between 1.0 and 1.99</t>
  </si>
  <si>
    <t>Percent who had GPA below 1.0</t>
  </si>
  <si>
    <t>C12</t>
  </si>
  <si>
    <t xml:space="preserve">Average high school GPA of all degree-seeking, first-time, first-year (freshman) students who submitted GPA:  </t>
  </si>
  <si>
    <t xml:space="preserve">Percent of total first-time, first-year (freshman) students who submitted high school GPA:  </t>
  </si>
  <si>
    <t>C13-C20: Admission Policies</t>
  </si>
  <si>
    <t>C13</t>
  </si>
  <si>
    <t>Application Fee</t>
  </si>
  <si>
    <t>Does your institution have an application fee?</t>
  </si>
  <si>
    <t xml:space="preserve">Amount of application fee: </t>
  </si>
  <si>
    <t>Can it be waived for applicants with financial need?</t>
  </si>
  <si>
    <t>If you have an application fee and an on-line application option, please indicate policy for students who apply on-line:</t>
  </si>
  <si>
    <t>Same fee</t>
  </si>
  <si>
    <t>Free</t>
  </si>
  <si>
    <t>Reduced</t>
  </si>
  <si>
    <t>Can on-line application fee be waived for applicants with financial need?</t>
  </si>
  <si>
    <t>C14</t>
  </si>
  <si>
    <t>Application closing date</t>
  </si>
  <si>
    <t>Does your institution have an application closing date?</t>
  </si>
  <si>
    <t>Date</t>
  </si>
  <si>
    <t>Application closing date (fall)</t>
  </si>
  <si>
    <t>C15</t>
  </si>
  <si>
    <t>Are first-time, first-year students accepted for terms other than the fall?</t>
  </si>
  <si>
    <t>C16</t>
  </si>
  <si>
    <t xml:space="preserve">On a rolling basis beginning (date):  </t>
  </si>
  <si>
    <t xml:space="preserve">By (date):  </t>
  </si>
  <si>
    <t xml:space="preserve">Other:  </t>
  </si>
  <si>
    <t>C17</t>
  </si>
  <si>
    <t xml:space="preserve">Must reply by (date): </t>
  </si>
  <si>
    <t>No set date</t>
  </si>
  <si>
    <t xml:space="preserve">Must reply by May 1st or within </t>
  </si>
  <si>
    <t>weeks if notified thereafter</t>
  </si>
  <si>
    <t xml:space="preserve">Deadline for housing deposit (MMDD): </t>
  </si>
  <si>
    <t>Amount of housing deposit:</t>
  </si>
  <si>
    <t>Refundable if student does not enroll?</t>
  </si>
  <si>
    <t>Yes, in full</t>
  </si>
  <si>
    <t>Yes, in part</t>
  </si>
  <si>
    <t>C18</t>
  </si>
  <si>
    <t>Deferred admission</t>
  </si>
  <si>
    <t>Does your institution allow students to postpone enrollment after admission?</t>
  </si>
  <si>
    <t>If yes, maximum period of postponement:</t>
  </si>
  <si>
    <t>C19</t>
  </si>
  <si>
    <t>Early admission of high school students</t>
  </si>
  <si>
    <t>Does your institution allow high school students to enroll as full-time, first-time, first-year (freshman) students one year or more before high school graduation?</t>
  </si>
  <si>
    <t>C20</t>
  </si>
  <si>
    <t>C21-C22: Early Decision and Early Action Plans</t>
  </si>
  <si>
    <t>C21</t>
  </si>
  <si>
    <t>Early Decision</t>
  </si>
  <si>
    <t xml:space="preserve">Does your institution offer an early decision plan (an admission plan that permits students to apply and be notified of an admission decision well in advance of the regular notification date and that asks students to commit to attending if accepted) for first-time, first-year (freshman) applicants for fall enrollment? </t>
  </si>
  <si>
    <t xml:space="preserve">If “yes,” please complete the following: </t>
  </si>
  <si>
    <t>First or only early decision plan closing date</t>
  </si>
  <si>
    <t>First or only early decision plan notification date</t>
  </si>
  <si>
    <t>Other early decision plan closing date</t>
  </si>
  <si>
    <t>Other early decision plan notification date</t>
  </si>
  <si>
    <t>Number of early decision applications received by your institution</t>
  </si>
  <si>
    <t>Number of applicants admitted under early decision plan</t>
  </si>
  <si>
    <t xml:space="preserve">Please provide significant details about your early decision plan:  </t>
  </si>
  <si>
    <t>C22</t>
  </si>
  <si>
    <t>Early action</t>
  </si>
  <si>
    <t>Do you have a nonbinding early action plan whereby students are notified of an admission decision well in advance of the regular notification date but do not have to commit to attending your college?</t>
  </si>
  <si>
    <t>Early action closing date</t>
  </si>
  <si>
    <t>Early action notification date</t>
  </si>
  <si>
    <t>Is your early action plan a “restrictive” plan under which you limit students from applying to other early plans?</t>
  </si>
  <si>
    <r>
      <t xml:space="preserve">Notification to applicants of admission decision sent </t>
    </r>
    <r>
      <rPr>
        <i/>
        <sz val="12"/>
        <color indexed="8"/>
        <rFont val="Arial"/>
        <family val="2"/>
      </rPr>
      <t>(fill in one only)</t>
    </r>
  </si>
  <si>
    <r>
      <t xml:space="preserve">Reply policy for admitted applicants </t>
    </r>
    <r>
      <rPr>
        <i/>
        <sz val="12"/>
        <rFont val="Arial"/>
        <family val="2"/>
      </rPr>
      <t>(fill in one only)</t>
    </r>
  </si>
  <si>
    <r>
      <t xml:space="preserve">Common Application: </t>
    </r>
    <r>
      <rPr>
        <sz val="12"/>
        <rFont val="Arial"/>
        <family val="2"/>
      </rPr>
      <t>Question removed from CDS. (Initiated during 2006-2007 cycle)</t>
    </r>
  </si>
  <si>
    <r>
      <t xml:space="preserve">If your institution has waived its application fee for the Fall </t>
    </r>
    <r>
      <rPr>
        <b/>
        <sz val="13"/>
        <color rgb="FF00B050"/>
        <rFont val="Arial"/>
        <family val="2"/>
      </rPr>
      <t>2023</t>
    </r>
    <r>
      <rPr>
        <b/>
        <sz val="13"/>
        <rFont val="Arial"/>
        <family val="2"/>
      </rPr>
      <t xml:space="preserve"> admission cycle please select no.</t>
    </r>
  </si>
  <si>
    <t xml:space="preserve">Relative importance of each of the following academic and nonacademic factors in your first-time, first-year, degree-seeking general (not including programs with specific criteria) admission decisions. </t>
  </si>
  <si>
    <t>Please provide additional information if the importance of any specific academic or nonacademic factors differ by academic program.</t>
  </si>
  <si>
    <t>If necessary, use this space to clarify your test policies (e.g., if tests are recommended for some students, or if tests are not required of some students due to differences by academic program, student academic background, or if other examinations may be considered in lieu of the SAT and ACT.):</t>
  </si>
  <si>
    <t>ACT Science</t>
  </si>
  <si>
    <t>ACT Reading</t>
  </si>
  <si>
    <t xml:space="preserve">If your institution collects and reports non-binary gender data, please use the “Another Gender” category. </t>
  </si>
  <si>
    <t>Comprehensive transition and possecondary program for students with intellectual disabilities</t>
  </si>
  <si>
    <t>Undergraduate research</t>
  </si>
  <si>
    <t>Physical Education</t>
  </si>
  <si>
    <t>Intensive writing</t>
  </si>
  <si>
    <t>Marine Option</t>
  </si>
  <si>
    <t>Coed residence halls</t>
  </si>
  <si>
    <t>Men's residence halls</t>
  </si>
  <si>
    <t>Women's residence halls</t>
  </si>
  <si>
    <t>Living Learning Communities</t>
  </si>
  <si>
    <r>
      <t xml:space="preserve">•     If the data being reported are final figures for the </t>
    </r>
    <r>
      <rPr>
        <sz val="10"/>
        <color rgb="FF00B050"/>
        <rFont val="Arial"/>
        <family val="2"/>
      </rPr>
      <t>2021-2022</t>
    </r>
    <r>
      <rPr>
        <sz val="10"/>
        <color indexed="8"/>
        <rFont val="Arial"/>
        <family val="2"/>
      </rPr>
      <t xml:space="preserve"> academic year (see the next item below), 
      use the </t>
    </r>
    <r>
      <rPr>
        <sz val="10"/>
        <color rgb="FF00B050"/>
        <rFont val="Arial"/>
        <family val="2"/>
      </rPr>
      <t>2021-2022</t>
    </r>
    <r>
      <rPr>
        <sz val="10"/>
        <color indexed="8"/>
        <rFont val="Arial"/>
        <family val="2"/>
      </rPr>
      <t xml:space="preserve"> academic year's CDS Question B1 cohort.</t>
    </r>
  </si>
  <si>
    <r>
      <rPr>
        <b/>
        <sz val="10"/>
        <color rgb="FF00B050"/>
        <rFont val="Arial"/>
        <family val="2"/>
      </rPr>
      <t>2022-2023</t>
    </r>
    <r>
      <rPr>
        <b/>
        <sz val="10"/>
        <rFont val="Arial"/>
        <family val="2"/>
      </rPr>
      <t xml:space="preserve"> estimated</t>
    </r>
  </si>
  <si>
    <r>
      <rPr>
        <b/>
        <sz val="10"/>
        <color rgb="FF00B050"/>
        <rFont val="Arial"/>
        <family val="2"/>
      </rPr>
      <t>2021-2022</t>
    </r>
    <r>
      <rPr>
        <b/>
        <sz val="10"/>
        <color indexed="8"/>
        <rFont val="Arial"/>
        <family val="2"/>
      </rPr>
      <t xml:space="preserve"> Final</t>
    </r>
  </si>
  <si>
    <r>
      <t xml:space="preserve">Number of degree-seeking undergraduate students (CDS Item B1 if reporting on Fall </t>
    </r>
    <r>
      <rPr>
        <sz val="9"/>
        <color rgb="FF00B050"/>
        <rFont val="Arial"/>
        <family val="2"/>
      </rPr>
      <t>2022</t>
    </r>
    <r>
      <rPr>
        <sz val="9"/>
        <rFont val="Arial"/>
        <family val="2"/>
      </rPr>
      <t xml:space="preserve"> cohort)</t>
    </r>
  </si>
  <si>
    <r>
      <rPr>
        <sz val="10"/>
        <color indexed="8"/>
        <rFont val="Arial"/>
        <family val="2"/>
      </rPr>
      <t>•</t>
    </r>
    <r>
      <rPr>
        <b/>
        <sz val="10"/>
        <color indexed="8"/>
        <rFont val="Arial"/>
        <family val="2"/>
      </rPr>
      <t xml:space="preserve">     </t>
    </r>
    <r>
      <rPr>
        <sz val="10"/>
        <color rgb="FF00B050"/>
        <rFont val="Arial"/>
        <family val="2"/>
      </rPr>
      <t>2022</t>
    </r>
    <r>
      <rPr>
        <sz val="10"/>
        <color indexed="8"/>
        <rFont val="Arial"/>
        <family val="2"/>
      </rPr>
      <t xml:space="preserve"> undergraduate class: all students who started at your institution as first-time students and 
      received a bachelor's degree between July 1, </t>
    </r>
    <r>
      <rPr>
        <sz val="10"/>
        <color rgb="FF00B050"/>
        <rFont val="Arial"/>
        <family val="2"/>
      </rPr>
      <t>2021</t>
    </r>
    <r>
      <rPr>
        <sz val="10"/>
        <color indexed="8"/>
        <rFont val="Arial"/>
        <family val="2"/>
      </rPr>
      <t xml:space="preserve"> and June 30, </t>
    </r>
    <r>
      <rPr>
        <sz val="10"/>
        <color rgb="FF00B050"/>
        <rFont val="Arial"/>
        <family val="2"/>
      </rPr>
      <t>2022</t>
    </r>
    <r>
      <rPr>
        <sz val="10"/>
        <color indexed="8"/>
        <rFont val="Arial"/>
        <family val="2"/>
      </rPr>
      <t>.</t>
    </r>
  </si>
  <si>
    <r>
      <t xml:space="preserve">Provide the number of students in the </t>
    </r>
    <r>
      <rPr>
        <b/>
        <sz val="10"/>
        <color rgb="FF00B050"/>
        <rFont val="Arial"/>
        <family val="2"/>
      </rPr>
      <t>2022</t>
    </r>
    <r>
      <rPr>
        <b/>
        <sz val="10"/>
        <rFont val="Arial"/>
        <family val="2"/>
      </rPr>
      <t xml:space="preserve"> undergraduate class who started at your institution as first-time students and received a bachelor's degree between July 1, </t>
    </r>
    <r>
      <rPr>
        <b/>
        <sz val="10"/>
        <color rgb="FF00B050"/>
        <rFont val="Arial"/>
        <family val="2"/>
      </rPr>
      <t>2021</t>
    </r>
    <r>
      <rPr>
        <b/>
        <sz val="10"/>
        <rFont val="Arial"/>
        <family val="2"/>
      </rPr>
      <t xml:space="preserve"> and June 30, </t>
    </r>
    <r>
      <rPr>
        <b/>
        <sz val="10"/>
        <color rgb="FF00B050"/>
        <rFont val="Arial"/>
        <family val="2"/>
      </rPr>
      <t>2022</t>
    </r>
    <r>
      <rPr>
        <b/>
        <sz val="10"/>
        <rFont val="Arial"/>
        <family val="2"/>
      </rPr>
      <t>. Exclude students who transferred into your institution.</t>
    </r>
  </si>
  <si>
    <r>
      <t xml:space="preserve">Degrees conferred between July 1, </t>
    </r>
    <r>
      <rPr>
        <b/>
        <sz val="10"/>
        <color rgb="FF00B050"/>
        <rFont val="Arial"/>
        <family val="2"/>
      </rPr>
      <t>2021</t>
    </r>
    <r>
      <rPr>
        <b/>
        <sz val="10"/>
        <rFont val="Arial"/>
        <family val="2"/>
      </rPr>
      <t xml:space="preserve"> and June 30, </t>
    </r>
    <r>
      <rPr>
        <b/>
        <sz val="10"/>
        <color rgb="FF00B050"/>
        <rFont val="Arial"/>
        <family val="2"/>
      </rPr>
      <t>2022</t>
    </r>
  </si>
  <si>
    <t>5_18_66_3096</t>
  </si>
  <si>
    <t>5_18_66_3097</t>
  </si>
  <si>
    <t>5_18_67_3098</t>
  </si>
  <si>
    <t>5_18_67_3099</t>
  </si>
  <si>
    <t>5_18_95_3100</t>
  </si>
  <si>
    <t>5_18_95_3101</t>
  </si>
  <si>
    <t>5_18_96_3102</t>
  </si>
  <si>
    <t>5_18_96_3103</t>
  </si>
  <si>
    <t>5_18_98_3104</t>
  </si>
  <si>
    <t>5_18_98_3105</t>
  </si>
  <si>
    <t>5_18_99_3106</t>
  </si>
  <si>
    <t>Degree-seeking, first-time first-year</t>
  </si>
  <si>
    <t>5_15_69_3094</t>
  </si>
  <si>
    <t>5_15_70_3095</t>
  </si>
  <si>
    <t>5_15_71_3092</t>
  </si>
  <si>
    <t>5_15_71_3093</t>
  </si>
  <si>
    <t>5_15_74_383</t>
  </si>
  <si>
    <t>5_15_74_384</t>
  </si>
  <si>
    <t>5_15_74_385</t>
  </si>
  <si>
    <t>5_15_74_386</t>
  </si>
  <si>
    <t>5_15_74_387</t>
  </si>
  <si>
    <t>5_15_74_388</t>
  </si>
  <si>
    <t>5_15_74_389</t>
  </si>
  <si>
    <t>5_15_74_390</t>
  </si>
  <si>
    <t>5_15_74_391</t>
  </si>
  <si>
    <t>5_15_74_392</t>
  </si>
  <si>
    <t>5_15_74_393</t>
  </si>
  <si>
    <t>5_15_74_394</t>
  </si>
  <si>
    <t>5_15_74_399</t>
  </si>
  <si>
    <t>5_15_74_400</t>
  </si>
  <si>
    <t>5_15_74_397</t>
  </si>
  <si>
    <t>5_15_74_398</t>
  </si>
  <si>
    <t>5_15_74_395</t>
  </si>
  <si>
    <t>5_15_74_396</t>
  </si>
  <si>
    <t>5_15_75_401</t>
  </si>
  <si>
    <t>5_15_75_402</t>
  </si>
  <si>
    <t>5_15_75_403</t>
  </si>
  <si>
    <t>5_15_75_404</t>
  </si>
  <si>
    <t>5_15_75_405</t>
  </si>
  <si>
    <t>5_15_75_406</t>
  </si>
  <si>
    <t>5_15_75_407</t>
  </si>
  <si>
    <t>5_15_75_408</t>
  </si>
  <si>
    <t>5_15_75_409</t>
  </si>
  <si>
    <t>5_15_75_410</t>
  </si>
  <si>
    <t>5_15_75_411</t>
  </si>
  <si>
    <t>5_15_75_412</t>
  </si>
  <si>
    <t>5_15_76_413</t>
  </si>
  <si>
    <t>5_15_76_414</t>
  </si>
  <si>
    <t>5_15_76_415</t>
  </si>
  <si>
    <t>5_15_76_416</t>
  </si>
  <si>
    <t>5_15_76_417</t>
  </si>
  <si>
    <t>5_15_76_418</t>
  </si>
  <si>
    <t>5_15_77_419</t>
  </si>
  <si>
    <t>5_15_77_424</t>
  </si>
  <si>
    <t>5_15_77_429</t>
  </si>
  <si>
    <t>5_15_77_434</t>
  </si>
  <si>
    <t>5_15_77_439</t>
  </si>
  <si>
    <t>5_15_77_444</t>
  </si>
  <si>
    <t>5_15_78_420</t>
  </si>
  <si>
    <t>5_15_78_425</t>
  </si>
  <si>
    <t>5_15_78_430</t>
  </si>
  <si>
    <t>5_15_78_435</t>
  </si>
  <si>
    <t>5_15_78_440</t>
  </si>
  <si>
    <t>5_15_79_421</t>
  </si>
  <si>
    <t>5_15_79_426</t>
  </si>
  <si>
    <t>5_15_79_431</t>
  </si>
  <si>
    <t>5_15_79_436</t>
  </si>
  <si>
    <t>5_15_79_441</t>
  </si>
  <si>
    <t>5_15_79_446</t>
  </si>
  <si>
    <t>5_15_81_423</t>
  </si>
  <si>
    <t>5_15_81_428</t>
  </si>
  <si>
    <t>5_15_81_433</t>
  </si>
  <si>
    <t>5_15_81_438</t>
  </si>
  <si>
    <t>5_15_81_443</t>
  </si>
  <si>
    <t>5_15_81_448</t>
  </si>
  <si>
    <t>5_15_80_422</t>
  </si>
  <si>
    <t>5_15_80_427</t>
  </si>
  <si>
    <t>5_15_80_432</t>
  </si>
  <si>
    <t>5_15_80_437</t>
  </si>
  <si>
    <t>5_15_80_442</t>
  </si>
  <si>
    <t>5_15_80_447</t>
  </si>
  <si>
    <t>5_15_73_381</t>
  </si>
  <si>
    <t>5_15_73_2784</t>
  </si>
  <si>
    <t>5_15_73_382</t>
  </si>
  <si>
    <t>5_15_73_2785</t>
  </si>
  <si>
    <t>5_15_83_449</t>
  </si>
  <si>
    <t>5_15_83_450</t>
  </si>
  <si>
    <t>5_15_83_451</t>
  </si>
  <si>
    <t>5_15_83_452</t>
  </si>
  <si>
    <t>5_15_83_453</t>
  </si>
  <si>
    <t>5_15_83_454</t>
  </si>
  <si>
    <t>5_15_84_455</t>
  </si>
  <si>
    <t>5_15_84_456</t>
  </si>
  <si>
    <t>5_15_84_457</t>
  </si>
  <si>
    <t>5_15_84_458</t>
  </si>
  <si>
    <t>5_15_84_459</t>
  </si>
  <si>
    <t>5_15_84_460</t>
  </si>
  <si>
    <t>5_15_84_461</t>
  </si>
  <si>
    <t>5_15_84_462</t>
  </si>
  <si>
    <t>5_15_84_463</t>
  </si>
  <si>
    <t>1_2_11_54</t>
  </si>
  <si>
    <t>1_2_11_55</t>
  </si>
  <si>
    <t>1_2_12_57</t>
  </si>
  <si>
    <t>1_2_12_58</t>
  </si>
  <si>
    <t>1_2_12_59</t>
  </si>
  <si>
    <t>1_2_12_61</t>
  </si>
  <si>
    <t>1_2_12_62</t>
  </si>
  <si>
    <t>1_2_12_60</t>
  </si>
  <si>
    <t>1_2_12_63</t>
  </si>
  <si>
    <t>1_2_12_64</t>
  </si>
  <si>
    <t>1_2_12_65</t>
  </si>
  <si>
    <t>1_2_12_66</t>
  </si>
  <si>
    <t>1_2_12_67</t>
  </si>
  <si>
    <t>1_2_12_68</t>
  </si>
  <si>
    <t>1_2_12_69</t>
  </si>
  <si>
    <t>1_2_12_70</t>
  </si>
  <si>
    <t>1_2_12_71</t>
  </si>
  <si>
    <t>1_2_12_72</t>
  </si>
  <si>
    <t>1_2_12_73</t>
  </si>
  <si>
    <t>1_2_12_74</t>
  </si>
  <si>
    <t>1_2_12_75</t>
  </si>
  <si>
    <t>1_2_13_76</t>
  </si>
  <si>
    <t>1_2_13_79</t>
  </si>
  <si>
    <t>1_2_13_80</t>
  </si>
  <si>
    <t>1_2_13_81</t>
  </si>
  <si>
    <t>1_2_13_82</t>
  </si>
  <si>
    <t>1_2_13_83</t>
  </si>
  <si>
    <t>1_2_13_84</t>
  </si>
  <si>
    <t>1_2_13_85</t>
  </si>
  <si>
    <t>1_2_13_88</t>
  </si>
  <si>
    <t>1_2_13_89</t>
  </si>
  <si>
    <t>1_2_13_90</t>
  </si>
  <si>
    <t>1_2_13_91</t>
  </si>
  <si>
    <t>1_2_3_3</t>
  </si>
  <si>
    <t>1_2_3_4</t>
  </si>
  <si>
    <t>1_2_3_5</t>
  </si>
  <si>
    <t>1_2_3_6</t>
  </si>
  <si>
    <t>1_2_3_7</t>
  </si>
  <si>
    <t>1_2_4_9</t>
  </si>
  <si>
    <t>1_2_4_8</t>
  </si>
  <si>
    <t>1_2_4_10</t>
  </si>
  <si>
    <t>1_2_4_2788</t>
  </si>
  <si>
    <t>1_2_5_11</t>
  </si>
  <si>
    <t>1_2_5_13</t>
  </si>
  <si>
    <t>1_2_6_14</t>
  </si>
  <si>
    <t>1_2_6_15</t>
  </si>
  <si>
    <t>1_2_6_16</t>
  </si>
  <si>
    <t>1_3_17_103</t>
  </si>
  <si>
    <t>1_3_17_104</t>
  </si>
  <si>
    <t>1_3_17_105</t>
  </si>
  <si>
    <t>1_3_18_106</t>
  </si>
  <si>
    <t>1_3_19_107</t>
  </si>
  <si>
    <t>1_3_16_98</t>
  </si>
  <si>
    <t>1_3_16_99</t>
  </si>
  <si>
    <t>1_3_20_108</t>
  </si>
  <si>
    <t>1_3_20_110</t>
  </si>
  <si>
    <t>1_3_20_111</t>
  </si>
  <si>
    <t>1_3_20_112</t>
  </si>
  <si>
    <t>1_3_20_113</t>
  </si>
  <si>
    <t>1_3_16_2671</t>
  </si>
  <si>
    <t>1_3_20_117</t>
  </si>
  <si>
    <t>1_3_16_2673</t>
  </si>
  <si>
    <t>1_3_16_2674</t>
  </si>
  <si>
    <t>1_3_16_2675</t>
  </si>
  <si>
    <t>If you have a diversity, equity, and inclusion office or department, please provide the URL of the corresponding Web page:</t>
  </si>
  <si>
    <t>7_26_123_3117</t>
  </si>
  <si>
    <t>5_15_78_445</t>
  </si>
  <si>
    <t>5_18_99_3107</t>
  </si>
  <si>
    <t>5_17_91_484</t>
  </si>
  <si>
    <t>5_17_91_485</t>
  </si>
  <si>
    <t>5_17_91_486</t>
  </si>
  <si>
    <t>7_26_122_2699</t>
  </si>
  <si>
    <t>1_6_33_144</t>
  </si>
  <si>
    <t>5_16_86_3108</t>
  </si>
  <si>
    <t>5_16_87_3110</t>
  </si>
  <si>
    <t>5_16_87_3111</t>
  </si>
  <si>
    <t>5_16_88_3112</t>
  </si>
  <si>
    <t>5_16_88_3113</t>
  </si>
  <si>
    <t>5_16_89_3114</t>
  </si>
  <si>
    <t>5_16_89_3115</t>
  </si>
  <si>
    <t>7_26_123_752</t>
  </si>
  <si>
    <t>7_26_123_755</t>
  </si>
  <si>
    <t>7_26_123_756</t>
  </si>
  <si>
    <t>7_26_123_757</t>
  </si>
  <si>
    <t>7_26_123_758</t>
  </si>
  <si>
    <t>7_26_123_759</t>
  </si>
  <si>
    <t>7_26_188_2718</t>
  </si>
  <si>
    <t>7_26_188_2720</t>
  </si>
  <si>
    <t>7_26_188_2736</t>
  </si>
  <si>
    <t>7_26_188_2737</t>
  </si>
  <si>
    <t>9_33_134_2658</t>
  </si>
  <si>
    <t>9_33_135_2659</t>
  </si>
  <si>
    <t>9_33_136_2662</t>
  </si>
  <si>
    <t>9_33_134_831</t>
  </si>
  <si>
    <t>9_33_135_832</t>
  </si>
  <si>
    <t>9_33_136_833</t>
  </si>
  <si>
    <t>1_6_44_2789</t>
  </si>
  <si>
    <t>First-time Full-time First-Year</t>
  </si>
  <si>
    <r>
      <t xml:space="preserve">Full-time Undergrad 
</t>
    </r>
    <r>
      <rPr>
        <sz val="9"/>
        <rFont val="Arial"/>
        <family val="2"/>
      </rPr>
      <t>(Incl. First-Year)</t>
    </r>
  </si>
  <si>
    <t>First-time
Full-time
First-Year</t>
  </si>
  <si>
    <t>Full-time
Undergrad
(Incl. First-Year)</t>
  </si>
  <si>
    <t xml:space="preserve">  </t>
  </si>
  <si>
    <t>Financial Aid Definitions</t>
  </si>
  <si>
    <t>Common Data Set Definitions</t>
  </si>
  <si>
    <r>
      <t>¨</t>
    </r>
    <r>
      <rPr>
        <sz val="7"/>
        <color rgb="FF000000"/>
        <rFont val="Calibri"/>
        <family val="2"/>
        <scheme val="minor"/>
      </rPr>
      <t xml:space="preserve">        </t>
    </r>
    <r>
      <rPr>
        <b/>
        <sz val="9"/>
        <color rgb="FF000000"/>
        <rFont val="Calibri"/>
        <family val="2"/>
        <scheme val="minor"/>
      </rPr>
      <t>All definitions related to the financial aid section appear at the end of the Definitions document.</t>
    </r>
  </si>
  <si>
    <r>
      <t>¨</t>
    </r>
    <r>
      <rPr>
        <sz val="7"/>
        <color rgb="FF000000"/>
        <rFont val="Calibri"/>
        <family val="2"/>
        <scheme val="minor"/>
      </rPr>
      <t xml:space="preserve">        </t>
    </r>
    <r>
      <rPr>
        <sz val="9"/>
        <color rgb="FF000000"/>
        <rFont val="Calibri"/>
        <family val="2"/>
        <scheme val="minor"/>
      </rPr>
      <t xml:space="preserve">Items preceded by an asterisk (*) represent definitions agreed to among publishers which do not appear on the CDS document but may be present on individual publishers’ surveys. </t>
    </r>
  </si>
  <si>
    <r>
      <t xml:space="preserve">*Academic advisement: </t>
    </r>
    <r>
      <rPr>
        <sz val="9"/>
        <color rgb="FF000000"/>
        <rFont val="Calibri"/>
        <family val="2"/>
        <scheme val="minor"/>
      </rPr>
      <t>Plan under which each student is assigned to a faculty member or a trained adviser, who, through regular meetings, helps the student plan and implement immediate and long-term academic and vocational goals.</t>
    </r>
  </si>
  <si>
    <r>
      <t xml:space="preserve">Accelerated program: </t>
    </r>
    <r>
      <rPr>
        <sz val="9"/>
        <color rgb="FF000000"/>
        <rFont val="Calibri"/>
        <family val="2"/>
        <scheme val="minor"/>
      </rPr>
      <t>Completion of a college program of study in fewer than the usual number of years, most often by attending summer sessions and carrying extra courses during the regular academic term</t>
    </r>
    <r>
      <rPr>
        <b/>
        <sz val="9"/>
        <color rgb="FF000000"/>
        <rFont val="Calibri"/>
        <family val="2"/>
        <scheme val="minor"/>
      </rPr>
      <t>.</t>
    </r>
  </si>
  <si>
    <r>
      <t xml:space="preserve">Admitted student: </t>
    </r>
    <r>
      <rPr>
        <sz val="9"/>
        <color rgb="FF000000"/>
        <rFont val="Calibri"/>
        <family val="2"/>
        <scheme val="minor"/>
      </rPr>
      <t>Applicant who is offered admission to a degree-granting program</t>
    </r>
    <r>
      <rPr>
        <b/>
        <sz val="9"/>
        <color rgb="FF000000"/>
        <rFont val="Calibri"/>
        <family val="2"/>
        <scheme val="minor"/>
      </rPr>
      <t xml:space="preserve"> </t>
    </r>
    <r>
      <rPr>
        <sz val="9"/>
        <color rgb="FF000000"/>
        <rFont val="Calibri"/>
        <family val="2"/>
        <scheme val="minor"/>
      </rPr>
      <t>at your institution.</t>
    </r>
  </si>
  <si>
    <r>
      <t xml:space="preserve">*Adult student services: </t>
    </r>
    <r>
      <rPr>
        <sz val="9"/>
        <color rgb="FF000000"/>
        <rFont val="Calibri"/>
        <family val="2"/>
        <scheme val="minor"/>
      </rPr>
      <t>Admission assistance, support, orientation, and other services expressly for adults who have started college for the first time, or who are re-entering after a lapse of a few years.</t>
    </r>
  </si>
  <si>
    <r>
      <t xml:space="preserve">American Indian or Alaska Native: </t>
    </r>
    <r>
      <rPr>
        <sz val="9"/>
        <rFont val="Calibri"/>
        <family val="2"/>
        <scheme val="minor"/>
      </rPr>
      <t>A person having origins in any of the original peoples of North and South America (including Central America) and maintaining tribal affiliation or community attachment.</t>
    </r>
  </si>
  <si>
    <r>
      <t xml:space="preserve">Applicant (first-time, first year): </t>
    </r>
    <r>
      <rPr>
        <sz val="9"/>
        <color rgb="FF000000"/>
        <rFont val="Calibri"/>
        <family val="2"/>
        <scheme val="minor"/>
      </rPr>
      <t>An individual who has fulfilled the institution’s requirements to be considered for admission (including payment or waiving of the application fee, if any) and who has been notified of one of the following actions: admission, nonadmission, placement on waiting list, or application withdrawn (by applicant or institution).</t>
    </r>
  </si>
  <si>
    <r>
      <t xml:space="preserve">Application fee: </t>
    </r>
    <r>
      <rPr>
        <sz val="9"/>
        <color rgb="FF000000"/>
        <rFont val="Calibri"/>
        <family val="2"/>
        <scheme val="minor"/>
      </rPr>
      <t xml:space="preserve">That amount of money that an institution charges for processing a student’s application for acceptance. This amount is </t>
    </r>
    <r>
      <rPr>
        <i/>
        <sz val="9"/>
        <color rgb="FF000000"/>
        <rFont val="Calibri"/>
        <family val="2"/>
        <scheme val="minor"/>
      </rPr>
      <t xml:space="preserve">not </t>
    </r>
    <r>
      <rPr>
        <sz val="9"/>
        <color rgb="FF000000"/>
        <rFont val="Calibri"/>
        <family val="2"/>
        <scheme val="minor"/>
      </rPr>
      <t>creditable toward tuition and required fees, nor is it refundable if the student is not admitted to the institution.</t>
    </r>
  </si>
  <si>
    <r>
      <t>Asian:</t>
    </r>
    <r>
      <rPr>
        <i/>
        <sz val="9"/>
        <color rgb="FF000000"/>
        <rFont val="Calibri"/>
        <family val="2"/>
        <scheme val="minor"/>
      </rPr>
      <t xml:space="preserve"> </t>
    </r>
    <r>
      <rPr>
        <sz val="9"/>
        <color rgb="FF000000"/>
        <rFont val="Calibri"/>
        <family val="2"/>
        <scheme val="minor"/>
      </rPr>
      <t>A person having origins in any of the original peoples of the Far East, Southeast Asia, or the Indian subcontinent, including, for example, Cambodia, China, India, Japan, Korea, Malaysia, Pakistan, the Philippine Islands, Thailand, and Vietnam.</t>
    </r>
  </si>
  <si>
    <r>
      <t xml:space="preserve">Associate degree: </t>
    </r>
    <r>
      <rPr>
        <sz val="9"/>
        <color rgb="FF000000"/>
        <rFont val="Calibri"/>
        <family val="2"/>
        <scheme val="minor"/>
      </rPr>
      <t>An award that normally requires at least two but less than four years of full-time equivalent college work.</t>
    </r>
  </si>
  <si>
    <r>
      <t xml:space="preserve">Bachelor’s degree: </t>
    </r>
    <r>
      <rPr>
        <sz val="9"/>
        <color rgb="FF000000"/>
        <rFont val="Calibri"/>
        <family val="2"/>
        <scheme val="minor"/>
      </rPr>
      <t xml:space="preserve">An award (baccalaureate or equivalent degree, as determined by the Secretary of the U.S. Department of Education) that normally requires at least four years but </t>
    </r>
    <r>
      <rPr>
        <i/>
        <sz val="9"/>
        <color rgb="FF000000"/>
        <rFont val="Calibri"/>
        <family val="2"/>
        <scheme val="minor"/>
      </rPr>
      <t>not</t>
    </r>
    <r>
      <rPr>
        <sz val="9"/>
        <color rgb="FF000000"/>
        <rFont val="Calibri"/>
        <family val="2"/>
        <scheme val="minor"/>
      </rPr>
      <t xml:space="preserve"> more than five years of full-time equivalent college-level work. This includes ALL bachelor’s degrees conferred in a five-year cooperative (work-study plan) program. (A cooperative plan provides for alternate class attendance and employment in business, industry, or government; thus, it allows students to combine actual work experience with their college studies.) Also, it includes bachelor’s degrees in which the normal four years of work are completed in three years.</t>
    </r>
  </si>
  <si>
    <r>
      <t>Black or African American</t>
    </r>
    <r>
      <rPr>
        <i/>
        <sz val="9"/>
        <color rgb="FF000000"/>
        <rFont val="Calibri"/>
        <family val="2"/>
        <scheme val="minor"/>
      </rPr>
      <t xml:space="preserve">: </t>
    </r>
    <r>
      <rPr>
        <sz val="9"/>
        <color rgb="FF000000"/>
        <rFont val="Calibri"/>
        <family val="2"/>
        <scheme val="minor"/>
      </rPr>
      <t>A person having origins in any of the black racial groups of Africa.</t>
    </r>
  </si>
  <si>
    <r>
      <t xml:space="preserve">Board (charges): </t>
    </r>
    <r>
      <rPr>
        <sz val="9"/>
        <color rgb="FF000000"/>
        <rFont val="Calibri"/>
        <family val="2"/>
        <scheme val="minor"/>
      </rPr>
      <t>Assume average cost for 19 meals per week or the maximum meal plan.</t>
    </r>
  </si>
  <si>
    <r>
      <t xml:space="preserve">Books and supplies (costs): </t>
    </r>
    <r>
      <rPr>
        <sz val="9"/>
        <color rgb="FF000000"/>
        <rFont val="Calibri"/>
        <family val="2"/>
        <scheme val="minor"/>
      </rPr>
      <t>Average cost of books and supplies. Do not include unusual costs for special groups of students (e.g., engineering or art majors), unless they constitute the majority of students at your institution.</t>
    </r>
  </si>
  <si>
    <r>
      <t xml:space="preserve">Calendar system: </t>
    </r>
    <r>
      <rPr>
        <sz val="9"/>
        <color rgb="FF000000"/>
        <rFont val="Calibri"/>
        <family val="2"/>
        <scheme val="minor"/>
      </rPr>
      <t>The method by which an institution structures most of its courses for the academic year.</t>
    </r>
  </si>
  <si>
    <r>
      <t>Campus Ministry:</t>
    </r>
    <r>
      <rPr>
        <sz val="9"/>
        <rFont val="Calibri"/>
        <family val="2"/>
        <scheme val="minor"/>
      </rPr>
      <t xml:space="preserve"> Religious student organizations (denominational or nondenominational) devoted to fostering religious life on college campuses. May also refer to Campus Crusade for Christ, an interdenominational Christian organization.</t>
    </r>
  </si>
  <si>
    <r>
      <t xml:space="preserve">*Career and placement services: </t>
    </r>
    <r>
      <rPr>
        <sz val="9"/>
        <color rgb="FF000000"/>
        <rFont val="Calibri"/>
        <family val="2"/>
        <scheme val="minor"/>
      </rPr>
      <t>A range of services, including (often) the following: coordination of visits of employers to campus; aptitude and vocational testing; interest inventories, personal counseling; help in resume writing, interviewing, launching the job search; listings for those students desiring employment and those seeking permanent positions; establishment of a permanent reference folder; career resource materials.</t>
    </r>
  </si>
  <si>
    <r>
      <t xml:space="preserve">Carnegie units: </t>
    </r>
    <r>
      <rPr>
        <sz val="9"/>
        <color rgb="FF000000"/>
        <rFont val="Calibri"/>
        <family val="2"/>
        <scheme val="minor"/>
      </rPr>
      <t>One year of study or the equivalent in a secondary school subject.</t>
    </r>
  </si>
  <si>
    <r>
      <t xml:space="preserve">Certificate: </t>
    </r>
    <r>
      <rPr>
        <sz val="9"/>
        <color rgb="FF000000"/>
        <rFont val="Calibri"/>
        <family val="2"/>
        <scheme val="minor"/>
      </rPr>
      <t xml:space="preserve">See </t>
    </r>
    <r>
      <rPr>
        <b/>
        <sz val="9"/>
        <color rgb="FF000000"/>
        <rFont val="Calibri"/>
        <family val="2"/>
        <scheme val="minor"/>
      </rPr>
      <t>Postsecondary award, certificate, or diploma.</t>
    </r>
  </si>
  <si>
    <r>
      <t xml:space="preserve">Class rank: </t>
    </r>
    <r>
      <rPr>
        <sz val="9"/>
        <color rgb="FF000000"/>
        <rFont val="Calibri"/>
        <family val="2"/>
        <scheme val="minor"/>
      </rPr>
      <t>The relative numerical position of a student in his or her graduating class, calculated by the high school on the basis of grade-point average, whether weighted or unweighted.</t>
    </r>
  </si>
  <si>
    <r>
      <t xml:space="preserve">College-preparatory program: </t>
    </r>
    <r>
      <rPr>
        <sz val="9"/>
        <color rgb="FF000000"/>
        <rFont val="Calibri"/>
        <family val="2"/>
        <scheme val="minor"/>
      </rPr>
      <t xml:space="preserve">Courses in academic subjects (English, history and social studies, foreign languages, mathematics, science, and the arts) that stress preparation for college or university study. </t>
    </r>
  </si>
  <si>
    <r>
      <t xml:space="preserve">Common Application: </t>
    </r>
    <r>
      <rPr>
        <sz val="9"/>
        <color rgb="FF000000"/>
        <rFont val="Calibri"/>
        <family val="2"/>
        <scheme val="minor"/>
      </rPr>
      <t xml:space="preserve">The standard application form distributed by the National Association of Secondary School Principals for a large number of private colleges who are members of the Common Application Group. </t>
    </r>
  </si>
  <si>
    <r>
      <t xml:space="preserve">*Community service program: </t>
    </r>
    <r>
      <rPr>
        <sz val="9"/>
        <color rgb="FF000000"/>
        <rFont val="Calibri"/>
        <family val="2"/>
        <scheme val="minor"/>
      </rPr>
      <t>Referral center for students wishing to perform volunteer work in the community or participate in volunteer activities coordinated by academic departments.</t>
    </r>
  </si>
  <si>
    <r>
      <t xml:space="preserve">Commuter: </t>
    </r>
    <r>
      <rPr>
        <sz val="9"/>
        <color rgb="FF000000"/>
        <rFont val="Calibri"/>
        <family val="2"/>
        <scheme val="minor"/>
      </rPr>
      <t xml:space="preserve">A student who lives off campus in housing that is not owned by, operated by, or affiliated with the college. This category includes students who commute from home and students who have moved to the area to attend college. </t>
    </r>
  </si>
  <si>
    <r>
      <t xml:space="preserve">Clock hour: </t>
    </r>
    <r>
      <rPr>
        <sz val="9"/>
        <color rgb="FF000000"/>
        <rFont val="Calibri"/>
        <family val="2"/>
        <scheme val="minor"/>
      </rPr>
      <t>A unit of measure that represents an hour of scheduled instruction given to students. Also referred to as contact hour.</t>
    </r>
  </si>
  <si>
    <r>
      <t xml:space="preserve">Continuous basis (for program enrollment): </t>
    </r>
    <r>
      <rPr>
        <sz val="9"/>
        <color rgb="FF000000"/>
        <rFont val="Calibri"/>
        <family val="2"/>
        <scheme val="minor"/>
      </rPr>
      <t>A calendar system classification that is used by institutions that enroll students at any time during the academic year. For example, a cosmetology school or a word processing school might allow students to enroll and begin studies at various times, with no requirement that classes begin on a certain date.</t>
    </r>
  </si>
  <si>
    <r>
      <t xml:space="preserve">Cooperative education program: </t>
    </r>
    <r>
      <rPr>
        <sz val="9"/>
        <color rgb="FF000000"/>
        <rFont val="Calibri"/>
        <family val="2"/>
        <scheme val="minor"/>
      </rPr>
      <t>A program that provides for alternate class attendance and employment in business, industry, or government.</t>
    </r>
  </si>
  <si>
    <r>
      <t xml:space="preserve">Cooperative housing: </t>
    </r>
    <r>
      <rPr>
        <sz val="9"/>
        <color rgb="FF000000"/>
        <rFont val="Calibri"/>
        <family val="2"/>
        <scheme val="minor"/>
      </rPr>
      <t>College-owned, -operated, or -affiliated housing in which students share room and board expenses and participate in household chores to reduce living expenses.</t>
    </r>
  </si>
  <si>
    <r>
      <t xml:space="preserve">*Counseling service: </t>
    </r>
    <r>
      <rPr>
        <sz val="9"/>
        <color rgb="FF000000"/>
        <rFont val="Calibri"/>
        <family val="2"/>
        <scheme val="minor"/>
      </rPr>
      <t>Activities designed to assist students in making plans and decisions related to their education, career, or personal development.</t>
    </r>
  </si>
  <si>
    <r>
      <t xml:space="preserve">Credit: </t>
    </r>
    <r>
      <rPr>
        <sz val="9"/>
        <color rgb="FF000000"/>
        <rFont val="Calibri"/>
        <family val="2"/>
        <scheme val="minor"/>
      </rPr>
      <t>Recognition of attendance or performance in an instructional activity (course or program) that can be applied by a recipient toward the requirements for a degree, diploma, certificate, or recognized postsecondary credential.</t>
    </r>
  </si>
  <si>
    <r>
      <t xml:space="preserve">Credit course: </t>
    </r>
    <r>
      <rPr>
        <sz val="9"/>
        <color rgb="FF000000"/>
        <rFont val="Calibri"/>
        <family val="2"/>
        <scheme val="minor"/>
      </rPr>
      <t>A course that, if successfully completed, can be applied toward the number of courses required for achieving a degree, diploma, certificate, or other recognized postsecondary credential.</t>
    </r>
  </si>
  <si>
    <r>
      <t xml:space="preserve">Credit hour: </t>
    </r>
    <r>
      <rPr>
        <sz val="9"/>
        <color rgb="FF000000"/>
        <rFont val="Calibri"/>
        <family val="2"/>
        <scheme val="minor"/>
      </rPr>
      <t>A unit of measure representing an hour (50 minutes) of instruction over a 15-week period in a semester or trimester system or a 10-week period in a quarter system. It is applied toward the total number of hours needed for completing the requirements of a degree, diploma, certificate, or recognized postsecondary credential.</t>
    </r>
  </si>
  <si>
    <r>
      <t xml:space="preserve">Cross-registration: </t>
    </r>
    <r>
      <rPr>
        <sz val="9"/>
        <color rgb="FF000000"/>
        <rFont val="Calibri"/>
        <family val="2"/>
        <scheme val="minor"/>
      </rPr>
      <t>A system whereby students enrolled at one institution may take courses at another institution without having to apply to the second institution.</t>
    </r>
  </si>
  <si>
    <r>
      <t xml:space="preserve">Deferred admission: </t>
    </r>
    <r>
      <rPr>
        <sz val="9"/>
        <color rgb="FF000000"/>
        <rFont val="Calibri"/>
        <family val="2"/>
        <scheme val="minor"/>
      </rPr>
      <t>The practice of permitting admitted students to postpone enrollment, usually for a period of one academic term or one year.</t>
    </r>
  </si>
  <si>
    <r>
      <t xml:space="preserve">Degree: </t>
    </r>
    <r>
      <rPr>
        <sz val="9"/>
        <color rgb="FF000000"/>
        <rFont val="Calibri"/>
        <family val="2"/>
        <scheme val="minor"/>
      </rPr>
      <t>An award conferred by a college, university, or other postsecondary education institution as official recognition for the successful completion of a program of studies.</t>
    </r>
  </si>
  <si>
    <r>
      <t xml:space="preserve">Degree-seeking students: </t>
    </r>
    <r>
      <rPr>
        <sz val="9"/>
        <color rgb="FF000000"/>
        <rFont val="Calibri"/>
        <family val="2"/>
        <scheme val="minor"/>
      </rPr>
      <t>Students enrolled in courses for credit who are recognized by the institution as seeking a degree or recognized postsecondary credential. At the undergraduate level, this is intended to include students enrolled in vocational or occupational programs.</t>
    </r>
  </si>
  <si>
    <r>
      <t xml:space="preserve">Differs by program (calendar system): </t>
    </r>
    <r>
      <rPr>
        <sz val="9"/>
        <color rgb="FF000000"/>
        <rFont val="Calibri"/>
        <family val="2"/>
        <scheme val="minor"/>
      </rPr>
      <t>A calendar system classification that is used by institutions that have occupational/vocational programs of varying length. These schools may enroll students at specific times depending on the program desired. For example, a school might offer a two-month program in January, March, May, September, and November; and a three-month program in January, April, and October.</t>
    </r>
  </si>
  <si>
    <r>
      <t xml:space="preserve">Diploma: </t>
    </r>
    <r>
      <rPr>
        <sz val="9"/>
        <color rgb="FF000000"/>
        <rFont val="Calibri"/>
        <family val="2"/>
        <scheme val="minor"/>
      </rPr>
      <t xml:space="preserve">See </t>
    </r>
    <r>
      <rPr>
        <b/>
        <sz val="9"/>
        <color rgb="FF000000"/>
        <rFont val="Calibri"/>
        <family val="2"/>
        <scheme val="minor"/>
      </rPr>
      <t>Postsecondary award, certificate, or diploma.</t>
    </r>
  </si>
  <si>
    <r>
      <t xml:space="preserve">Distance learning: </t>
    </r>
    <r>
      <rPr>
        <sz val="9"/>
        <color rgb="FF000000"/>
        <rFont val="Calibri"/>
        <family val="2"/>
        <scheme val="minor"/>
      </rPr>
      <t>An option for earning course credit at off-campus locations via cable television, internet, satellite classes, videotapes, correspondence courses, or other means.</t>
    </r>
  </si>
  <si>
    <r>
      <t>Doctor’s degree-research/scholarship</t>
    </r>
    <r>
      <rPr>
        <sz val="9"/>
        <rFont val="Calibri"/>
        <family val="2"/>
        <scheme val="minor"/>
      </rPr>
      <t>: A Ph.D. or other doctor's degree that requires advanced work beyond the master’s level, including the preparation and defense of a dissertation based on original research, or the planning and execution of an original project demonstrating substantial artistic or scholarly achievement. Some examples of this type of degree may include Ed.D., D.M.A., D.B.A., D.Sc., D.A., or D.M, and others, as designated by the awarding institution.</t>
    </r>
  </si>
  <si>
    <r>
      <t>Doctor’s degree-professional practice</t>
    </r>
    <r>
      <rPr>
        <sz val="9"/>
        <rFont val="Calibri"/>
        <family val="2"/>
        <scheme val="minor"/>
      </rPr>
      <t>: A doctor’s degree that is conferred upon completion of a program providing the knowledge and skills for the recognition, credential, or license required for professional practice. The degree is awarded after a period of study such that the total time to the degree, including both pre-professional and professional preparation, equals at least six full-time equivalent academic years. Some of these degrees were formerly classified as “first-professional” and may include: Chiropractic (D.C. or D.C.M.); Dentistry (D.D.S. or D.M.D.); Law (L.L.B. or J.D.); Medicine (M.D.); Optometry (O.D.); Osteopathic Medicine (D.O); Pharmacy (Pharm.D.); Podiatry (D.P.M., Pod.D., D.P.); or, Veterinary Medicine (D.V.M.), and others, as designated by the awarding institution.</t>
    </r>
  </si>
  <si>
    <r>
      <t>Doctor’s degree-other</t>
    </r>
    <r>
      <rPr>
        <sz val="9"/>
        <rFont val="Calibri"/>
        <family val="2"/>
        <scheme val="minor"/>
      </rPr>
      <t>: A doctor’s degree that does not meet the definition of a doctor’s degree - research/scholarship or a doctor’s degree - professional practice.</t>
    </r>
  </si>
  <si>
    <r>
      <t xml:space="preserve">Double major: </t>
    </r>
    <r>
      <rPr>
        <sz val="9"/>
        <color rgb="FF000000"/>
        <rFont val="Calibri"/>
        <family val="2"/>
        <scheme val="minor"/>
      </rPr>
      <t>Program in which students may complete two undergraduate programs of study simultaneously.</t>
    </r>
  </si>
  <si>
    <r>
      <t xml:space="preserve">Dual enrollment: </t>
    </r>
    <r>
      <rPr>
        <sz val="9"/>
        <color rgb="FF000000"/>
        <rFont val="Calibri"/>
        <family val="2"/>
        <scheme val="minor"/>
      </rPr>
      <t>A program through which high school students may enroll in college courses while still enrolled in high school. Students are not required to apply for admission to the college in order to participate.</t>
    </r>
  </si>
  <si>
    <r>
      <t xml:space="preserve">Early action plan: </t>
    </r>
    <r>
      <rPr>
        <sz val="9"/>
        <color rgb="FF000000"/>
        <rFont val="Calibri"/>
        <family val="2"/>
        <scheme val="minor"/>
      </rPr>
      <t>An admission plan that allows students to apply and be notified of an admission decision well in advance of the regular notification dates. If admitted, the candidate is not committed to enroll; the student may reply to the offer under the college’s regular reply policy.</t>
    </r>
  </si>
  <si>
    <r>
      <t xml:space="preserve">Early admission: </t>
    </r>
    <r>
      <rPr>
        <sz val="9"/>
        <color rgb="FF000000"/>
        <rFont val="Calibri"/>
        <family val="2"/>
        <scheme val="minor"/>
      </rPr>
      <t>A policy under which students who have not completed high school are admitted and enroll full time in college, usually after completion of their junior year.</t>
    </r>
  </si>
  <si>
    <r>
      <t xml:space="preserve">Early decision plan: </t>
    </r>
    <r>
      <rPr>
        <sz val="9"/>
        <color rgb="FF000000"/>
        <rFont val="Calibri"/>
        <family val="2"/>
        <scheme val="minor"/>
      </rPr>
      <t>A plan that permits students to apply and be notified of an admission decision (and financial aid offer if applicable) well in advance of the regular notification date. Applicants agree to accept an offer of admission and, if admitted, to withdraw their applications from other colleges. There are three possible decisions for early decision applicants: admitted, denied, or not admitted but forwarded for consideration with the regular applicant pool, without prejudice.</t>
    </r>
  </si>
  <si>
    <r>
      <t xml:space="preserve">English as a Second Language (ESL): </t>
    </r>
    <r>
      <rPr>
        <sz val="9"/>
        <color rgb="FF000000"/>
        <rFont val="Calibri"/>
        <family val="2"/>
        <scheme val="minor"/>
      </rPr>
      <t>A course of study designed specifically for students whose native language is not English.</t>
    </r>
  </si>
  <si>
    <r>
      <t xml:space="preserve">Exchange student program-domestic: </t>
    </r>
    <r>
      <rPr>
        <sz val="9"/>
        <color rgb="FF000000"/>
        <rFont val="Calibri"/>
        <family val="2"/>
        <scheme val="minor"/>
      </rPr>
      <t>Any arrangement between a student and a college that permits study for a semester or more at another college</t>
    </r>
    <r>
      <rPr>
        <b/>
        <sz val="9"/>
        <color rgb="FF000000"/>
        <rFont val="Calibri"/>
        <family val="2"/>
        <scheme val="minor"/>
      </rPr>
      <t xml:space="preserve"> in the United States </t>
    </r>
    <r>
      <rPr>
        <sz val="9"/>
        <color rgb="FF000000"/>
        <rFont val="Calibri"/>
        <family val="2"/>
        <scheme val="minor"/>
      </rPr>
      <t xml:space="preserve">without extending the amount of time required for a degree. </t>
    </r>
    <r>
      <rPr>
        <b/>
        <sz val="9"/>
        <color rgb="FF000000"/>
        <rFont val="Calibri"/>
        <family val="2"/>
        <scheme val="minor"/>
      </rPr>
      <t>See also Study abroad</t>
    </r>
    <r>
      <rPr>
        <sz val="9"/>
        <color rgb="FF000000"/>
        <rFont val="Calibri"/>
        <family val="2"/>
        <scheme val="minor"/>
      </rPr>
      <t>.</t>
    </r>
  </si>
  <si>
    <r>
      <t>External degree program:</t>
    </r>
    <r>
      <rPr>
        <sz val="9"/>
        <color rgb="FF000000"/>
        <rFont val="Calibri"/>
        <family val="2"/>
        <scheme val="minor"/>
      </rPr>
      <t xml:space="preserve"> A program of study in which students earn credits toward a degree through independent study, college courses, proficiency examinations, and personal experience. External degree programs require minimal or no classroom attendance.</t>
    </r>
  </si>
  <si>
    <r>
      <t xml:space="preserve">Extracurricular activities (as admission factor): </t>
    </r>
    <r>
      <rPr>
        <sz val="9"/>
        <color rgb="FF000000"/>
        <rFont val="Calibri"/>
        <family val="2"/>
        <scheme val="minor"/>
      </rPr>
      <t>Special consideration in the admissions process given for participation in both school and nonschool-related activities of interest to the college, such as clubs, hobbies, student government, athletics, performing arts, etc.</t>
    </r>
  </si>
  <si>
    <r>
      <t xml:space="preserve">First-time student: </t>
    </r>
    <r>
      <rPr>
        <sz val="9"/>
        <color rgb="FF000000"/>
        <rFont val="Calibri"/>
        <family val="2"/>
        <scheme val="minor"/>
      </rPr>
      <t>A student attending any institution for the first time at the level enrolled. Includes students enrolled in the fall term who attended a postsecondary institution for the first time at the same level in the prior summer term. Also includes students who entered with advanced standing (college credit earned before graduation from high school).</t>
    </r>
  </si>
  <si>
    <r>
      <t xml:space="preserve">First-time, first-year (freshman) student: </t>
    </r>
    <r>
      <rPr>
        <sz val="9"/>
        <color rgb="FF000000"/>
        <rFont val="Calibri"/>
        <family val="2"/>
        <scheme val="minor"/>
      </rPr>
      <t>A student attending any institution for the first time at the undergraduate level. Includes students enrolled in the fall term who attended college for the first time in the prior summer term. Also includes students who entered with advanced standing (college credits earned before graduation from high school).</t>
    </r>
  </si>
  <si>
    <r>
      <t xml:space="preserve">First-year student: </t>
    </r>
    <r>
      <rPr>
        <sz val="9"/>
        <color rgb="FF000000"/>
        <rFont val="Calibri"/>
        <family val="2"/>
        <scheme val="minor"/>
      </rPr>
      <t>A student who has completed less than the equivalent of 1 full year of undergraduate work; that is, less than 30 semester hours (in a 120-hour degree program) or less than 900 clock hours.</t>
    </r>
  </si>
  <si>
    <r>
      <t xml:space="preserve">Freshman: </t>
    </r>
    <r>
      <rPr>
        <sz val="9"/>
        <color rgb="FF000000"/>
        <rFont val="Calibri"/>
        <family val="2"/>
        <scheme val="minor"/>
      </rPr>
      <t>A first-year undergraduate student.</t>
    </r>
  </si>
  <si>
    <r>
      <t xml:space="preserve">*Freshman/new student orientation: </t>
    </r>
    <r>
      <rPr>
        <sz val="9"/>
        <color rgb="FF000000"/>
        <rFont val="Calibri"/>
        <family val="2"/>
        <scheme val="minor"/>
      </rPr>
      <t>Orientation addressing the academic, social, emotional, and intellectual issues involved in beginning college. May be a few hours or a few days in length; at some colleges, there is a fee.</t>
    </r>
  </si>
  <si>
    <r>
      <t xml:space="preserve">Full-time student (undergraduate): </t>
    </r>
    <r>
      <rPr>
        <sz val="9"/>
        <color rgb="FF000000"/>
        <rFont val="Calibri"/>
        <family val="2"/>
        <scheme val="minor"/>
      </rPr>
      <t>A student enrolled for 12 or more semester credits, 12 or more quarter credits, or 24 or more clock hours a week each term.</t>
    </r>
  </si>
  <si>
    <r>
      <t xml:space="preserve">Geographical residence (as admission factor): </t>
    </r>
    <r>
      <rPr>
        <sz val="9"/>
        <color rgb="FF000000"/>
        <rFont val="Calibri"/>
        <family val="2"/>
        <scheme val="minor"/>
      </rPr>
      <t>Special consideration in the admission process given to students from a particular region, state, or country of residence.</t>
    </r>
  </si>
  <si>
    <r>
      <t xml:space="preserve">Grade-point average (academic high school GPA): </t>
    </r>
    <r>
      <rPr>
        <sz val="9"/>
        <color rgb="FF000000"/>
        <rFont val="Calibri"/>
        <family val="2"/>
        <scheme val="minor"/>
      </rPr>
      <t>The sum of grade points a student has earned in secondary school divided by the number of courses taken. The most common system of assigning numbers to grades counts four points for an A, three points for a B, two points for a C, one point for a D, and no points for an E or F. Unweighted GPA’s assign the same weight to each course. Weighting gives students additional points for their grades in advanced or honors courses.</t>
    </r>
  </si>
  <si>
    <r>
      <t xml:space="preserve">Graduate student: </t>
    </r>
    <r>
      <rPr>
        <sz val="9"/>
        <color rgb="FF000000"/>
        <rFont val="Calibri"/>
        <family val="2"/>
        <scheme val="minor"/>
      </rPr>
      <t>A student who holds a bachelor’s or equivalent, and is taking courses at the post-baccalaureate level.</t>
    </r>
  </si>
  <si>
    <r>
      <t xml:space="preserve">*Health services: </t>
    </r>
    <r>
      <rPr>
        <sz val="9"/>
        <color rgb="FF000000"/>
        <rFont val="Calibri"/>
        <family val="2"/>
        <scheme val="minor"/>
      </rPr>
      <t>Free or low cost on-campus primary and preventive health care available to students.</t>
    </r>
  </si>
  <si>
    <r>
      <t xml:space="preserve">High school diploma or recognized equivalent: </t>
    </r>
    <r>
      <rPr>
        <sz val="9"/>
        <color rgb="FF000000"/>
        <rFont val="Calibri"/>
        <family val="2"/>
        <scheme val="minor"/>
      </rPr>
      <t>A document certifying the successful completion of a prescribed secondary school program of studies, or the attainment of satisfactory scores on the Tests of General Educational Development (GED), or another state-specified examination.</t>
    </r>
  </si>
  <si>
    <r>
      <t>Hispanic or Latino:</t>
    </r>
    <r>
      <rPr>
        <i/>
        <sz val="9"/>
        <color rgb="FF000000"/>
        <rFont val="Calibri"/>
        <family val="2"/>
        <scheme val="minor"/>
      </rPr>
      <t xml:space="preserve"> </t>
    </r>
    <r>
      <rPr>
        <sz val="9"/>
        <color rgb="FF000000"/>
        <rFont val="Calibri"/>
        <family val="2"/>
        <scheme val="minor"/>
      </rPr>
      <t>A person of Mexican, Puerto Rican, Cuban, South or Central American, or other Spanish culture or origin, regardless of race.</t>
    </r>
  </si>
  <si>
    <r>
      <t>Honors program:</t>
    </r>
    <r>
      <rPr>
        <sz val="9"/>
        <color rgb="FF000000"/>
        <rFont val="Calibri"/>
        <family val="2"/>
        <scheme val="minor"/>
      </rPr>
      <t xml:space="preserve"> Any special program for very able students offering the opportunity for educational enrichment, independent study, acceleration, or some combination of these.</t>
    </r>
    <r>
      <rPr>
        <b/>
        <sz val="9"/>
        <color rgb="FF000000"/>
        <rFont val="Calibri"/>
        <family val="2"/>
        <scheme val="minor"/>
      </rPr>
      <t xml:space="preserve"> </t>
    </r>
  </si>
  <si>
    <r>
      <t xml:space="preserve">Independent study: </t>
    </r>
    <r>
      <rPr>
        <sz val="9"/>
        <color rgb="FF000000"/>
        <rFont val="Calibri"/>
        <family val="2"/>
        <scheme val="minor"/>
      </rPr>
      <t>Academic work chosen or designed by the student with the approval of the department concerned, under an instructor’s supervision, and usually undertaken outside of the regular classroom structure.</t>
    </r>
  </si>
  <si>
    <r>
      <t xml:space="preserve">In-state tuition: </t>
    </r>
    <r>
      <rPr>
        <sz val="9"/>
        <color rgb="FF000000"/>
        <rFont val="Calibri"/>
        <family val="2"/>
        <scheme val="minor"/>
      </rPr>
      <t>The tuition charged by institutions to those students who meet the state’s or institution’s residency requirements.</t>
    </r>
  </si>
  <si>
    <r>
      <t xml:space="preserve">International student: </t>
    </r>
    <r>
      <rPr>
        <sz val="9"/>
        <color rgb="FF000000"/>
        <rFont val="Calibri"/>
        <family val="2"/>
        <scheme val="minor"/>
      </rPr>
      <t>See</t>
    </r>
    <r>
      <rPr>
        <b/>
        <sz val="9"/>
        <color rgb="FF000000"/>
        <rFont val="Calibri"/>
        <family val="2"/>
        <scheme val="minor"/>
      </rPr>
      <t xml:space="preserve"> Nonresident alien.</t>
    </r>
  </si>
  <si>
    <r>
      <t xml:space="preserve">International student group: </t>
    </r>
    <r>
      <rPr>
        <sz val="9"/>
        <rFont val="Calibri"/>
        <family val="2"/>
        <scheme val="minor"/>
      </rPr>
      <t>Student groups that facilitate cultural dialogue, support a diverse campus, assist international students in acclimation and creating a social network.</t>
    </r>
    <r>
      <rPr>
        <sz val="9"/>
        <color rgb="FF0000FF"/>
        <rFont val="Calibri"/>
        <family val="2"/>
        <scheme val="minor"/>
      </rPr>
      <t> </t>
    </r>
  </si>
  <si>
    <r>
      <t>Internship:</t>
    </r>
    <r>
      <rPr>
        <sz val="9"/>
        <color rgb="FF000000"/>
        <rFont val="Calibri"/>
        <family val="2"/>
        <scheme val="minor"/>
      </rPr>
      <t xml:space="preserve"> Any short-term, supervised work experience usually related to a student’s major field, for which the student earns academic credit. The work can be full- or part-time, on- or off-campus, paid or unpaid.</t>
    </r>
  </si>
  <si>
    <r>
      <t xml:space="preserve">*Learning center: </t>
    </r>
    <r>
      <rPr>
        <sz val="9"/>
        <color rgb="FF000000"/>
        <rFont val="Calibri"/>
        <family val="2"/>
        <scheme val="minor"/>
      </rPr>
      <t>Center offering assistance through tutors, workshops, computer programs, or audiovisual equipment in reading, writing, math, and skills such as taking notes, managing time, taking tests.</t>
    </r>
  </si>
  <si>
    <r>
      <t xml:space="preserve">*Legal services: </t>
    </r>
    <r>
      <rPr>
        <sz val="9"/>
        <color rgb="FF000000"/>
        <rFont val="Calibri"/>
        <family val="2"/>
        <scheme val="minor"/>
      </rPr>
      <t>Free or low cost legal advice for a range of issues (personal and other).</t>
    </r>
  </si>
  <si>
    <r>
      <t xml:space="preserve">Liberal arts/career combination: </t>
    </r>
    <r>
      <rPr>
        <sz val="9"/>
        <color rgb="FF000000"/>
        <rFont val="Calibri"/>
        <family val="2"/>
        <scheme val="minor"/>
      </rPr>
      <t>Program in which a student earns undergraduate degrees in two separate fields, one in a liberal arts major and the other in a professional or specialized major, whether on campus or through cross‑registration.</t>
    </r>
  </si>
  <si>
    <r>
      <t>Master's degree</t>
    </r>
    <r>
      <rPr>
        <sz val="9"/>
        <rFont val="Calibri"/>
        <family val="2"/>
        <scheme val="minor"/>
      </rPr>
      <t xml:space="preserve">: An award that requires the successful completion of a program of study of generally one or two full-time equivalent academic years of work beyond the bachelor's degree. Some of these degrees, such as those in Theology (M.Div., M.H.L./Rav) that were formerly classified as "first-professional", may require more than two full-time equivalent academic years of work. </t>
    </r>
  </si>
  <si>
    <r>
      <t xml:space="preserve">Minority affiliation (as admission factor): </t>
    </r>
    <r>
      <rPr>
        <sz val="9"/>
        <color rgb="FF000000"/>
        <rFont val="Calibri"/>
        <family val="2"/>
        <scheme val="minor"/>
      </rPr>
      <t>Special consideration in the admission process for members of designated racial/ethnic minority groups.</t>
    </r>
  </si>
  <si>
    <r>
      <t xml:space="preserve">*Minority student center: </t>
    </r>
    <r>
      <rPr>
        <sz val="9"/>
        <color rgb="FF000000"/>
        <rFont val="Calibri"/>
        <family val="2"/>
        <scheme val="minor"/>
      </rPr>
      <t>Center with programs, activities, and/or services intended to enhance the college experience of students of color.</t>
    </r>
  </si>
  <si>
    <r>
      <t xml:space="preserve">Model United Nations: </t>
    </r>
    <r>
      <rPr>
        <sz val="9"/>
        <rFont val="Calibri"/>
        <family val="2"/>
        <scheme val="minor"/>
      </rPr>
      <t xml:space="preserve">A simulation activity focusing on conflict resolution, globalization, and diplomacy. Assuming roles as foreign ambassadors and “delegates,” students conduct research, engage in debate, draft resolutions, and may participate in a national Model UN conference.  </t>
    </r>
  </si>
  <si>
    <r>
      <t>Native Hawaiian or Other Pacific Islander:</t>
    </r>
    <r>
      <rPr>
        <i/>
        <sz val="9"/>
        <color rgb="FF000000"/>
        <rFont val="Calibri"/>
        <family val="2"/>
        <scheme val="minor"/>
      </rPr>
      <t xml:space="preserve"> </t>
    </r>
    <r>
      <rPr>
        <sz val="9"/>
        <color rgb="FF000000"/>
        <rFont val="Calibri"/>
        <family val="2"/>
        <scheme val="minor"/>
      </rPr>
      <t>A person having origins in any of the original peoples of Hawaii, Guam, Samoa, or other Pacific Islands.</t>
    </r>
  </si>
  <si>
    <r>
      <t xml:space="preserve">Nonresident alien: </t>
    </r>
    <r>
      <rPr>
        <sz val="9"/>
        <color rgb="FF000000"/>
        <rFont val="Calibri"/>
        <family val="2"/>
        <scheme val="minor"/>
      </rPr>
      <t>A person who is not a citizen or national of the United States and who is in this country on a visa or temporary basis and does not have the right to remain indefinitely.</t>
    </r>
  </si>
  <si>
    <r>
      <t xml:space="preserve">*On-campus day care: </t>
    </r>
    <r>
      <rPr>
        <sz val="9"/>
        <color rgb="FF000000"/>
        <rFont val="Calibri"/>
        <family val="2"/>
        <scheme val="minor"/>
      </rPr>
      <t>Licensed day care for students’ children (usually age 3 and up); usually for a fee.</t>
    </r>
  </si>
  <si>
    <r>
      <t xml:space="preserve">Open admission: </t>
    </r>
    <r>
      <rPr>
        <sz val="9"/>
        <color rgb="FF000000"/>
        <rFont val="Calibri"/>
        <family val="2"/>
        <scheme val="minor"/>
      </rPr>
      <t>Admission policy under which virtually all secondary school graduates or students with GED equivalency diplomas are admitted without regard to academic record, test scores, or other qualifications.</t>
    </r>
  </si>
  <si>
    <r>
      <t xml:space="preserve">Other expenses (costs): </t>
    </r>
    <r>
      <rPr>
        <sz val="9"/>
        <color rgb="FF000000"/>
        <rFont val="Calibri"/>
        <family val="2"/>
        <scheme val="minor"/>
      </rPr>
      <t>Include average costs for clothing, laundry, entertainment, medical (if not a required fee), and furnishings.</t>
    </r>
  </si>
  <si>
    <r>
      <t xml:space="preserve">Out-of-state tuition: </t>
    </r>
    <r>
      <rPr>
        <sz val="9"/>
        <color rgb="FF000000"/>
        <rFont val="Calibri"/>
        <family val="2"/>
        <scheme val="minor"/>
      </rPr>
      <t>The tuition charged by institutions to those students who do not meet the institution’s or state’s residency requirements.</t>
    </r>
  </si>
  <si>
    <r>
      <t xml:space="preserve">Part-time student (undergraduate): </t>
    </r>
    <r>
      <rPr>
        <sz val="9"/>
        <color rgb="FF000000"/>
        <rFont val="Calibri"/>
        <family val="2"/>
        <scheme val="minor"/>
      </rPr>
      <t>A student enrolled for fewer than 12 credits per semester or quarter, or fewer than 24 clock hours a week each term.</t>
    </r>
  </si>
  <si>
    <r>
      <t>*Personal counseling</t>
    </r>
    <r>
      <rPr>
        <sz val="9"/>
        <color rgb="FF000000"/>
        <rFont val="Calibri"/>
        <family val="2"/>
        <scheme val="minor"/>
      </rPr>
      <t>: One-on-one or group counseling with trained professionals for students who want to explore personal, educational, or vocational issues.</t>
    </r>
  </si>
  <si>
    <r>
      <t xml:space="preserve">Post-baccalaureate certificate: </t>
    </r>
    <r>
      <rPr>
        <sz val="9"/>
        <color rgb="FF000000"/>
        <rFont val="Calibri"/>
        <family val="2"/>
        <scheme val="minor"/>
      </rPr>
      <t>An award that requires completion of an organized program of study requiring 18 credit hours beyond the bachelor’s; designed for persons who have completed a baccalaureate degree but do not meet the requirements of academic degrees carrying the title of master.</t>
    </r>
  </si>
  <si>
    <r>
      <t xml:space="preserve">Post-master’s certificate: </t>
    </r>
    <r>
      <rPr>
        <sz val="9"/>
        <color rgb="FF000000"/>
        <rFont val="Calibri"/>
        <family val="2"/>
        <scheme val="minor"/>
      </rPr>
      <t>An award that requires completion of an organized program of study of 24 credit hours beyond the master’s degree but does not meet the requirements of academic degrees at the doctoral level.</t>
    </r>
  </si>
  <si>
    <r>
      <t xml:space="preserve">Postsecondary award, certificate, or diploma: </t>
    </r>
    <r>
      <rPr>
        <sz val="9"/>
        <color rgb="FF000000"/>
        <rFont val="Calibri"/>
        <family val="2"/>
        <scheme val="minor"/>
      </rPr>
      <t>Includes the following three IPEDS definitions for postsecondary awards, certificates, and diplomas of varying durations and credit/contact/clock hour requirements:</t>
    </r>
  </si>
  <si>
    <r>
      <t>Less Than 1 Academic Year</t>
    </r>
    <r>
      <rPr>
        <i/>
        <sz val="9"/>
        <color rgb="FF000000"/>
        <rFont val="Calibri"/>
        <family val="2"/>
        <scheme val="minor"/>
      </rPr>
      <t>:</t>
    </r>
    <r>
      <rPr>
        <sz val="9"/>
        <color rgb="FF000000"/>
        <rFont val="Calibri"/>
        <family val="2"/>
        <scheme val="minor"/>
      </rPr>
      <t xml:space="preserve"> Requires completion of an organized program of study at the postsecondary level (below the baccalaureate degree) in less than 1 academic year (2 semesters or 3 quarters) or in less than 900 clock hours by a student enrolled full-time.</t>
    </r>
  </si>
  <si>
    <r>
      <t>At Least 1 But Less Than 2 Academic Years:</t>
    </r>
    <r>
      <rPr>
        <sz val="9"/>
        <color rgb="FF000000"/>
        <rFont val="Calibri"/>
        <family val="2"/>
        <scheme val="minor"/>
      </rPr>
      <t xml:space="preserve"> Requires completion of an organized program of study at the postsecondary level (below the baccalaureate degree) in at least 1 but less than 2 full-time equivalent academic years, or designed for completion in at least 30 but less than 60 credit hours, or in at least 900 but less than 1,800 clock hours.</t>
    </r>
  </si>
  <si>
    <r>
      <t>At Least 2 But Less Than 4 Academic Years:</t>
    </r>
    <r>
      <rPr>
        <sz val="9"/>
        <color rgb="FF000000"/>
        <rFont val="Calibri"/>
        <family val="2"/>
        <scheme val="minor"/>
      </rPr>
      <t xml:space="preserve"> Requires completion of an organized program of study at the postsecondary level (below the baccalaureate degree) in at least 2 but less than 4 full-time equivalent academic years, or designed for completion in at least 60 but less than 120 credit hours, or in at least 1,800 but less than 3,600 clock hours.</t>
    </r>
  </si>
  <si>
    <r>
      <t xml:space="preserve">Private institution: </t>
    </r>
    <r>
      <rPr>
        <sz val="9"/>
        <color rgb="FF000000"/>
        <rFont val="Calibri"/>
        <family val="2"/>
        <scheme val="minor"/>
      </rPr>
      <t>An educational institution controlled by a private individual(s) or by a nongovernmental agency, usually supported primarily by other than public funds, and operated by other than publicly elected or appointed officials.</t>
    </r>
  </si>
  <si>
    <r>
      <t xml:space="preserve">Private for-profit institution: </t>
    </r>
    <r>
      <rPr>
        <sz val="9"/>
        <color rgb="FF000000"/>
        <rFont val="Calibri"/>
        <family val="2"/>
        <scheme val="minor"/>
      </rPr>
      <t>A private institution in which the individual(s) or agency in control receives compensation, other than wages, rent, or other expenses for the assumption of risk.</t>
    </r>
  </si>
  <si>
    <r>
      <t xml:space="preserve">Private nonprofit institution: </t>
    </r>
    <r>
      <rPr>
        <sz val="9"/>
        <color rgb="FF000000"/>
        <rFont val="Calibri"/>
        <family val="2"/>
        <scheme val="minor"/>
      </rPr>
      <t>A private institution in which the individual(s) or agency in control receives no compensation, other than wages, rent, or other expenses for the assumption of risk. These include both independent nonprofit schools and those affiliated with a religious organization.</t>
    </r>
  </si>
  <si>
    <r>
      <t xml:space="preserve">Proprietary institution: </t>
    </r>
    <r>
      <rPr>
        <sz val="9"/>
        <color rgb="FF000000"/>
        <rFont val="Calibri"/>
        <family val="2"/>
        <scheme val="minor"/>
      </rPr>
      <t>See</t>
    </r>
    <r>
      <rPr>
        <b/>
        <sz val="9"/>
        <color rgb="FF000000"/>
        <rFont val="Calibri"/>
        <family val="2"/>
        <scheme val="minor"/>
      </rPr>
      <t xml:space="preserve"> Private for-profit institution.</t>
    </r>
  </si>
  <si>
    <r>
      <t xml:space="preserve">Public institution: </t>
    </r>
    <r>
      <rPr>
        <sz val="9"/>
        <color rgb="FF000000"/>
        <rFont val="Calibri"/>
        <family val="2"/>
        <scheme val="minor"/>
      </rPr>
      <t>An educational institution whose programs and activities are operated by publicly elected or appointed school officials, and which is supported primarily by public funds.</t>
    </r>
  </si>
  <si>
    <r>
      <t xml:space="preserve">Quarter calendar system: </t>
    </r>
    <r>
      <rPr>
        <sz val="9"/>
        <color rgb="FF000000"/>
        <rFont val="Calibri"/>
        <family val="2"/>
        <scheme val="minor"/>
      </rPr>
      <t>A calendar system in which the academic year consists of three sessions called quarters of about 12 weeks each. The range may be from 10 to 15 weeks. There may be an additional quarter in the summer.</t>
    </r>
  </si>
  <si>
    <r>
      <t xml:space="preserve">Race/ethnicity: </t>
    </r>
    <r>
      <rPr>
        <sz val="9"/>
        <color rgb="FF000000"/>
        <rFont val="Calibri"/>
        <family val="2"/>
        <scheme val="minor"/>
      </rPr>
      <t>Category used to describe groups to which individuals belong, identify with, or belong in the eyes of the community. The categories do not denote scientific definitions of anthropological origins. A person may be counted in only one group.</t>
    </r>
  </si>
  <si>
    <r>
      <t xml:space="preserve">Race/ethnicity unknown: </t>
    </r>
    <r>
      <rPr>
        <sz val="9"/>
        <color rgb="FF000000"/>
        <rFont val="Calibri"/>
        <family val="2"/>
        <scheme val="minor"/>
      </rPr>
      <t>Category used to classify students or employees whose race/ethnicity is not known and whom institutions are unable to place in one of the specified racial/ethnic categories.</t>
    </r>
  </si>
  <si>
    <r>
      <t xml:space="preserve">Recognized Postsecondary Credential: </t>
    </r>
    <r>
      <rPr>
        <sz val="9"/>
        <color rgb="FF000000"/>
        <rFont val="Calibri"/>
        <family val="2"/>
        <scheme val="minor"/>
      </rPr>
      <t>Includes both Title IV eligible degrees, certificates, and other recognized postsecondary credentials. Any credential that is received after completion of a program that is eligible for Title IV federal student aid. Credentials that are awarded to recognize an individual’s attainment of measurable technical or industry/occupational skills necessary to obtain employment or advance within an industry occupation. (Generally based on standards developed or endorsed by employers or industry associations).</t>
    </r>
  </si>
  <si>
    <r>
      <t xml:space="preserve">Religious affiliation/commitment (as admission factor): </t>
    </r>
    <r>
      <rPr>
        <sz val="9"/>
        <color rgb="FF000000"/>
        <rFont val="Calibri"/>
        <family val="2"/>
        <scheme val="minor"/>
      </rPr>
      <t xml:space="preserve">Special consideration given in the admission process for affiliation with a certain church or faith/religion, commitment to a religious vocation, or observance of certain religious tenets/lifestyle. </t>
    </r>
  </si>
  <si>
    <r>
      <t xml:space="preserve">*Religious counseling: </t>
    </r>
    <r>
      <rPr>
        <sz val="9"/>
        <color rgb="FF000000"/>
        <rFont val="Calibri"/>
        <family val="2"/>
        <scheme val="minor"/>
      </rPr>
      <t>One-on-one or group counseling with trained professionals for students who want to explore religious problems or issues.</t>
    </r>
  </si>
  <si>
    <r>
      <t xml:space="preserve">*Remedial services: </t>
    </r>
    <r>
      <rPr>
        <sz val="9"/>
        <color rgb="FF000000"/>
        <rFont val="Calibri"/>
        <family val="2"/>
        <scheme val="minor"/>
      </rPr>
      <t>Instructional courses designed for students deficient in the general competencies necessary for a regular postsecondary curriculum and educational setting.</t>
    </r>
  </si>
  <si>
    <r>
      <t xml:space="preserve">Required fees: </t>
    </r>
    <r>
      <rPr>
        <sz val="9"/>
        <color rgb="FF000000"/>
        <rFont val="Calibri"/>
        <family val="2"/>
        <scheme val="minor"/>
      </rPr>
      <t xml:space="preserve">Fixed sum charged to students for items not covered by tuition and required of such a large proportion of all students that the student who does NOT pay is the exception. Do not include application fees or optional fees such as lab fees or parking fees. </t>
    </r>
  </si>
  <si>
    <r>
      <t xml:space="preserve">Resident alien or other eligible non-citizen: </t>
    </r>
    <r>
      <rPr>
        <sz val="9"/>
        <color rgb="FF000000"/>
        <rFont val="Calibri"/>
        <family val="2"/>
        <scheme val="minor"/>
      </rPr>
      <t>A person who is not a citizen or national of the United States and who has been admitted as a legal immigrant for the purpose of obtaining permanent resident alien status (and who holds either an alien registration card [Form I-551 or I-151], a Temporary Resident Card [Form I-688], or an Arrival-Departure Record [Form I-94] with a notation that conveys legal immigrant status, such as Section 207 Refugee, Section 208 Asylee, Conditional Entrant Parolee or Cuban-Haitian).</t>
    </r>
  </si>
  <si>
    <r>
      <t xml:space="preserve">Room and board (charges)—on campus: </t>
    </r>
    <r>
      <rPr>
        <sz val="9"/>
        <color rgb="FF000000"/>
        <rFont val="Calibri"/>
        <family val="2"/>
        <scheme val="minor"/>
      </rPr>
      <t>Assume double occupancy in institutional housing and 19 meals per week (or maximum meal plan).</t>
    </r>
  </si>
  <si>
    <r>
      <t xml:space="preserve">Secondary school record (as admission factor): </t>
    </r>
    <r>
      <rPr>
        <sz val="9"/>
        <color rgb="FF000000"/>
        <rFont val="Calibri"/>
        <family val="2"/>
        <scheme val="minor"/>
      </rPr>
      <t>Information maintained by the secondary school that may include such things as the student’s high school transcript, class rank, GPA, and teacher and counselor recommendations.</t>
    </r>
  </si>
  <si>
    <r>
      <t xml:space="preserve">Semester calendar system: </t>
    </r>
    <r>
      <rPr>
        <sz val="9"/>
        <color rgb="FF000000"/>
        <rFont val="Calibri"/>
        <family val="2"/>
        <scheme val="minor"/>
      </rPr>
      <t>A calendar system that consists of two semesters during the academic year with about 16 weeks for each semester of instruction. There may be an additional summer session.</t>
    </r>
  </si>
  <si>
    <r>
      <t xml:space="preserve">Student-designed major: </t>
    </r>
    <r>
      <rPr>
        <sz val="9"/>
        <color rgb="FF000000"/>
        <rFont val="Calibri"/>
        <family val="2"/>
        <scheme val="minor"/>
      </rPr>
      <t>A program of study based on individual interests, designed with the assistance of an adviser.</t>
    </r>
  </si>
  <si>
    <r>
      <t>Study abroad:</t>
    </r>
    <r>
      <rPr>
        <sz val="9"/>
        <color rgb="FF000000"/>
        <rFont val="Calibri"/>
        <family val="2"/>
        <scheme val="minor"/>
      </rPr>
      <t xml:space="preserve"> Any arrangement by which a student completes part of the college program studying in another country. Can be at a campus abroad or through a cooperative agreement with some other U.S. college or an institution of another country. </t>
    </r>
  </si>
  <si>
    <r>
      <t xml:space="preserve">*Summer session: </t>
    </r>
    <r>
      <rPr>
        <sz val="9"/>
        <color rgb="FF000000"/>
        <rFont val="Calibri"/>
        <family val="2"/>
        <scheme val="minor"/>
      </rPr>
      <t>A summer session is shorter than a regular semester and not considered part of the academic year. It is not the third term of an institution operating on a trimester system or the fourth term of an institution operating on a quarter calendar system. The institution may have 2 or more sessions occurring in the summer months. Some schools, such as vocational and beauty schools, have year-round classes with no separate summer session.</t>
    </r>
  </si>
  <si>
    <r>
      <t xml:space="preserve">Talent/ability (as admission factor): </t>
    </r>
    <r>
      <rPr>
        <sz val="9"/>
        <color rgb="FF000000"/>
        <rFont val="Calibri"/>
        <family val="2"/>
        <scheme val="minor"/>
      </rPr>
      <t>Special consideration given to students with demonstrated talent/abilities in areas of interest to the institution (e.g., sports, the arts, languages, etc.).</t>
    </r>
  </si>
  <si>
    <r>
      <t>Teacher certification program:</t>
    </r>
    <r>
      <rPr>
        <sz val="9"/>
        <color rgb="FF000000"/>
        <rFont val="Calibri"/>
        <family val="2"/>
        <scheme val="minor"/>
      </rPr>
      <t xml:space="preserve"> Program designed to prepare students to meet the requirements for certification as teachers in elementary, middle/junior high, and secondary schools.</t>
    </r>
  </si>
  <si>
    <r>
      <t xml:space="preserve">Transfer applicant: </t>
    </r>
    <r>
      <rPr>
        <sz val="9"/>
        <color rgb="FF000000"/>
        <rFont val="Calibri"/>
        <family val="2"/>
        <scheme val="minor"/>
      </rPr>
      <t xml:space="preserve">An individual who has fulfilled the institution’s requirements to be considered for admission (including payment or waiving of the application fee, if any) and who has previously attended another college or university and earned college-level credit. </t>
    </r>
  </si>
  <si>
    <r>
      <t>Transfer student:</t>
    </r>
    <r>
      <rPr>
        <sz val="9"/>
        <color rgb="FF000000"/>
        <rFont val="Calibri"/>
        <family val="2"/>
        <scheme val="minor"/>
      </rPr>
      <t xml:space="preserve"> A student entering the institution for the first time but known to have previously attended a postsecondary institution at the same level (e.g., undergraduate). The student may transfer with or without credit.</t>
    </r>
  </si>
  <si>
    <r>
      <t xml:space="preserve">Transportation (costs): </t>
    </r>
    <r>
      <rPr>
        <sz val="9"/>
        <color rgb="FF000000"/>
        <rFont val="Calibri"/>
        <family val="2"/>
        <scheme val="minor"/>
      </rPr>
      <t>Assume two round trips to student’s hometown per year for students in institutional housing or daily travel to and from your institution for commuter students.</t>
    </r>
  </si>
  <si>
    <r>
      <t xml:space="preserve">Trimester calendar system: </t>
    </r>
    <r>
      <rPr>
        <sz val="9"/>
        <color rgb="FF000000"/>
        <rFont val="Calibri"/>
        <family val="2"/>
        <scheme val="minor"/>
      </rPr>
      <t>An academic year consisting of 3 terms of about 15 weeks each.</t>
    </r>
  </si>
  <si>
    <r>
      <t xml:space="preserve">Tuition: </t>
    </r>
    <r>
      <rPr>
        <sz val="9"/>
        <color rgb="FF000000"/>
        <rFont val="Calibri"/>
        <family val="2"/>
        <scheme val="minor"/>
      </rPr>
      <t xml:space="preserve">Amount of money charged to students for instructional services. Tuition may be charged per term, per course, or per credit. </t>
    </r>
  </si>
  <si>
    <r>
      <t xml:space="preserve">*Tutoring: </t>
    </r>
    <r>
      <rPr>
        <sz val="9"/>
        <color rgb="FF000000"/>
        <rFont val="Calibri"/>
        <family val="2"/>
        <scheme val="minor"/>
      </rPr>
      <t>May range from one-on-one tutoring in specific subjects to tutoring in an area such as math, reading, or writing. Most tutors are college students; at some colleges, they are specially trained and certified.</t>
    </r>
  </si>
  <si>
    <r>
      <t xml:space="preserve">Unit: </t>
    </r>
    <r>
      <rPr>
        <sz val="9"/>
        <color rgb="FF000000"/>
        <rFont val="Calibri"/>
        <family val="2"/>
        <scheme val="minor"/>
      </rPr>
      <t>a standard of measurement representing hours of academic instruction (e.g., semester credit, quarter credit, clock hour).</t>
    </r>
  </si>
  <si>
    <r>
      <t xml:space="preserve">Undergraduate: </t>
    </r>
    <r>
      <rPr>
        <sz val="9"/>
        <color rgb="FF000000"/>
        <rFont val="Calibri"/>
        <family val="2"/>
        <scheme val="minor"/>
      </rPr>
      <t>A student enrolled in a four- or five-year bachelor’s degree program, an associate degree program, or a vocational or technical program below the baccalaureate.</t>
    </r>
  </si>
  <si>
    <r>
      <t xml:space="preserve">*Veteran’s counseling: </t>
    </r>
    <r>
      <rPr>
        <sz val="9"/>
        <color rgb="FF000000"/>
        <rFont val="Calibri"/>
        <family val="2"/>
        <scheme val="minor"/>
      </rPr>
      <t>Helps veterans and their dependents obtain benefits for their selected program and provides certifications to the Veteran’s Administration. May also provide personal counseling on the transition from the military to a civilian life.</t>
    </r>
  </si>
  <si>
    <r>
      <t xml:space="preserve">*Visually impaired: </t>
    </r>
    <r>
      <rPr>
        <sz val="9"/>
        <color rgb="FF000000"/>
        <rFont val="Calibri"/>
        <family val="2"/>
        <scheme val="minor"/>
      </rPr>
      <t>Any person whose sight loss is not correctable and is sufficiently severe as to adversely affect educational performance.</t>
    </r>
  </si>
  <si>
    <r>
      <t xml:space="preserve">Volunteer work (as admission factor): </t>
    </r>
    <r>
      <rPr>
        <sz val="9"/>
        <color rgb="FF000000"/>
        <rFont val="Calibri"/>
        <family val="2"/>
        <scheme val="minor"/>
      </rPr>
      <t>Special consideration given to students for activity done on a volunteer basis (e.g., tutoring, hospital care, working with the elderly or disabled) as a service to the community or the public in general.</t>
    </r>
  </si>
  <si>
    <r>
      <t xml:space="preserve">Wait list: </t>
    </r>
    <r>
      <rPr>
        <sz val="9"/>
        <color rgb="FF000000"/>
        <rFont val="Calibri"/>
        <family val="2"/>
        <scheme val="minor"/>
      </rPr>
      <t xml:space="preserve">List of students who meet the admission requirements but will only be offered a place in the class if space becomes available. </t>
    </r>
  </si>
  <si>
    <r>
      <t>Weekend college:</t>
    </r>
    <r>
      <rPr>
        <sz val="9"/>
        <color rgb="FF000000"/>
        <rFont val="Calibri"/>
        <family val="2"/>
        <scheme val="minor"/>
      </rPr>
      <t xml:space="preserve"> A program that allows students to take a complete course of study and attend classes only on weekends. </t>
    </r>
  </si>
  <si>
    <r>
      <t>White:</t>
    </r>
    <r>
      <rPr>
        <i/>
        <sz val="9"/>
        <color rgb="FF000000"/>
        <rFont val="Calibri"/>
        <family val="2"/>
        <scheme val="minor"/>
      </rPr>
      <t xml:space="preserve"> </t>
    </r>
    <r>
      <rPr>
        <sz val="9"/>
        <color rgb="FF000000"/>
        <rFont val="Calibri"/>
        <family val="2"/>
        <scheme val="minor"/>
      </rPr>
      <t>A person having origins in any of the original peoples of Europe, the Middle East, or North Africa.</t>
    </r>
  </si>
  <si>
    <r>
      <t xml:space="preserve">*Women’s center: </t>
    </r>
    <r>
      <rPr>
        <sz val="9"/>
        <color rgb="FF000000"/>
        <rFont val="Calibri"/>
        <family val="2"/>
        <scheme val="minor"/>
      </rPr>
      <t>Center with programs, academic activities, and/or services intended to promote an understanding of the evolving roles of women.</t>
    </r>
  </si>
  <si>
    <r>
      <t xml:space="preserve">Work experience (as admission factor): </t>
    </r>
    <r>
      <rPr>
        <sz val="9"/>
        <color rgb="FF000000"/>
        <rFont val="Calibri"/>
        <family val="2"/>
        <scheme val="minor"/>
      </rPr>
      <t>Special consideration given to students who have been employed prior to application, whether for relevance to major, demonstration of employment-related skills, or as explanation of student’s academic and extracurricular record.</t>
    </r>
  </si>
  <si>
    <r>
      <t xml:space="preserve">External scholarships and grants: </t>
    </r>
    <r>
      <rPr>
        <sz val="9"/>
        <color rgb="FF000000"/>
        <rFont val="Calibri"/>
        <family val="2"/>
        <scheme val="minor"/>
      </rPr>
      <t>Scholarships and grants received from outside (private) sources that students bring with them (e.g., Kiwanis, National Merit scholarships). The institution may process paperwork to receive the dollars, but it has no role in determining the recipient or the dollar amount awarded.</t>
    </r>
  </si>
  <si>
    <r>
      <t xml:space="preserve">Financial aid applicant: </t>
    </r>
    <r>
      <rPr>
        <sz val="9"/>
        <color rgb="FF000000"/>
        <rFont val="Calibri"/>
        <family val="2"/>
        <scheme val="minor"/>
      </rPr>
      <t xml:space="preserve">Any applicant who submits </t>
    </r>
    <r>
      <rPr>
        <b/>
        <sz val="9"/>
        <color rgb="FF000000"/>
        <rFont val="Calibri"/>
        <family val="2"/>
        <scheme val="minor"/>
      </rPr>
      <t>any one of</t>
    </r>
    <r>
      <rPr>
        <sz val="9"/>
        <color rgb="FF000000"/>
        <rFont val="Calibri"/>
        <family val="2"/>
        <scheme val="minor"/>
      </rPr>
      <t xml:space="preserve"> the institutionally required financial aid applications/forms, such as the FAFSA. </t>
    </r>
  </si>
  <si>
    <r>
      <t xml:space="preserve">Indebtedness: </t>
    </r>
    <r>
      <rPr>
        <sz val="9"/>
        <color rgb="FF000000"/>
        <rFont val="Calibri"/>
        <family val="2"/>
        <scheme val="minor"/>
      </rPr>
      <t xml:space="preserve">Aggregate dollar amount borrowed through any loan program (federal, state, subsidized, unsubsidized, private, etc.; excluding parent loans) while the student was enrolled at an institution. Student loans co-signed by a parent are assumed to be the responsibility of the student and </t>
    </r>
    <r>
      <rPr>
        <b/>
        <sz val="9"/>
        <color rgb="FF000000"/>
        <rFont val="Calibri"/>
        <family val="2"/>
        <scheme val="minor"/>
      </rPr>
      <t>should</t>
    </r>
    <r>
      <rPr>
        <sz val="9"/>
        <color rgb="FF000000"/>
        <rFont val="Calibri"/>
        <family val="2"/>
        <scheme val="minor"/>
      </rPr>
      <t xml:space="preserve"> be included.</t>
    </r>
  </si>
  <si>
    <r>
      <t>Institutional scholarships and grants</t>
    </r>
    <r>
      <rPr>
        <sz val="9"/>
        <color rgb="FF000000"/>
        <rFont val="Calibri"/>
        <family val="2"/>
        <scheme val="minor"/>
      </rPr>
      <t>: Endowed scholarships, annual gifts and tuition funded grants for which the institution determines the recipient.</t>
    </r>
  </si>
  <si>
    <r>
      <t xml:space="preserve">Financial need: </t>
    </r>
    <r>
      <rPr>
        <sz val="9"/>
        <color rgb="FF000000"/>
        <rFont val="Calibri"/>
        <family val="2"/>
        <scheme val="minor"/>
      </rPr>
      <t xml:space="preserve">As determined by your institution using the federal methodology and/or your institution's own standards. </t>
    </r>
  </si>
  <si>
    <r>
      <t xml:space="preserve">Need-based aid: </t>
    </r>
    <r>
      <rPr>
        <sz val="9"/>
        <color rgb="FF000000"/>
        <rFont val="Calibri"/>
        <family val="2"/>
        <scheme val="minor"/>
      </rPr>
      <t>College-funded or college-administered award from institutional, state, federal, or other sources for which a student must have financial need to qualify. This includes both institutional and non-institutional student aid (grants, jobs, and loans).</t>
    </r>
  </si>
  <si>
    <r>
      <t xml:space="preserve">Need-based scholarship or grant aid: </t>
    </r>
    <r>
      <rPr>
        <sz val="9"/>
        <color rgb="FF000000"/>
        <rFont val="Calibri"/>
        <family val="2"/>
        <scheme val="minor"/>
      </rPr>
      <t>Scholarships and grants from institutional, state, federal, or other sources for which a student must have financial need to qualify.</t>
    </r>
  </si>
  <si>
    <r>
      <t xml:space="preserve">Need-based self-help aid: </t>
    </r>
    <r>
      <rPr>
        <sz val="9"/>
        <color rgb="FF000000"/>
        <rFont val="Calibri"/>
        <family val="2"/>
        <scheme val="minor"/>
      </rPr>
      <t>Loans and jobs from institutional, state, federal, or other sources for which a student must demonstrate financial need to qualify.</t>
    </r>
  </si>
  <si>
    <r>
      <t xml:space="preserve">Non-need-based scholarship or grant aid: </t>
    </r>
    <r>
      <rPr>
        <sz val="9"/>
        <color rgb="FF000000"/>
        <rFont val="Calibri"/>
        <family val="2"/>
        <scheme val="minor"/>
      </rPr>
      <t xml:space="preserve">Scholarships and grants, gifts, or merit-based aid from institutional, state, federal, or other sources (including unrestricted funds or gifts and endowment income) awarded solely on the basis of academic achievement, merit, or any other non-need-based reason. When reporting questions H1 and H2, non-need-based aid that is used to meet need should be counted as need-based aid. </t>
    </r>
  </si>
  <si>
    <r>
      <t>1.</t>
    </r>
    <r>
      <rPr>
        <sz val="7"/>
        <color rgb="FF000000"/>
        <rFont val="Calibri"/>
        <family val="2"/>
        <scheme val="minor"/>
      </rPr>
      <t xml:space="preserve">        </t>
    </r>
    <r>
      <rPr>
        <sz val="9"/>
        <color rgb="FF000000"/>
        <rFont val="Calibri"/>
        <family val="2"/>
        <scheme val="minor"/>
      </rPr>
      <t>Non-need institutional grants</t>
    </r>
  </si>
  <si>
    <r>
      <t>2.</t>
    </r>
    <r>
      <rPr>
        <sz val="7"/>
        <color rgb="FF000000"/>
        <rFont val="Calibri"/>
        <family val="2"/>
        <scheme val="minor"/>
      </rPr>
      <t xml:space="preserve">        </t>
    </r>
    <r>
      <rPr>
        <sz val="9"/>
        <color rgb="FF000000"/>
        <rFont val="Calibri"/>
        <family val="2"/>
        <scheme val="minor"/>
      </rPr>
      <t>Non-need tuition waivers</t>
    </r>
  </si>
  <si>
    <r>
      <t>3.</t>
    </r>
    <r>
      <rPr>
        <sz val="7"/>
        <color rgb="FF000000"/>
        <rFont val="Calibri"/>
        <family val="2"/>
        <scheme val="minor"/>
      </rPr>
      <t xml:space="preserve">        </t>
    </r>
    <r>
      <rPr>
        <sz val="9"/>
        <color rgb="FF000000"/>
        <rFont val="Calibri"/>
        <family val="2"/>
        <scheme val="minor"/>
      </rPr>
      <t>Non-need athletic awards</t>
    </r>
  </si>
  <si>
    <r>
      <t>4.</t>
    </r>
    <r>
      <rPr>
        <sz val="7"/>
        <color rgb="FF000000"/>
        <rFont val="Calibri"/>
        <family val="2"/>
        <scheme val="minor"/>
      </rPr>
      <t xml:space="preserve">        </t>
    </r>
    <r>
      <rPr>
        <sz val="9"/>
        <color rgb="FF000000"/>
        <rFont val="Calibri"/>
        <family val="2"/>
        <scheme val="minor"/>
      </rPr>
      <t>Non-need federal grants</t>
    </r>
  </si>
  <si>
    <r>
      <t>5.</t>
    </r>
    <r>
      <rPr>
        <sz val="7"/>
        <color rgb="FF000000"/>
        <rFont val="Calibri"/>
        <family val="2"/>
        <scheme val="minor"/>
      </rPr>
      <t xml:space="preserve">        </t>
    </r>
    <r>
      <rPr>
        <sz val="9"/>
        <color rgb="FF000000"/>
        <rFont val="Calibri"/>
        <family val="2"/>
        <scheme val="minor"/>
      </rPr>
      <t>Non-need state grants</t>
    </r>
  </si>
  <si>
    <r>
      <t>6.</t>
    </r>
    <r>
      <rPr>
        <sz val="7"/>
        <color rgb="FF000000"/>
        <rFont val="Calibri"/>
        <family val="2"/>
        <scheme val="minor"/>
      </rPr>
      <t xml:space="preserve">        </t>
    </r>
    <r>
      <rPr>
        <sz val="9"/>
        <color rgb="FF000000"/>
        <rFont val="Calibri"/>
        <family val="2"/>
        <scheme val="minor"/>
      </rPr>
      <t>Non-need outside grants</t>
    </r>
  </si>
  <si>
    <r>
      <t>7.</t>
    </r>
    <r>
      <rPr>
        <sz val="7"/>
        <color rgb="FF000000"/>
        <rFont val="Calibri"/>
        <family val="2"/>
        <scheme val="minor"/>
      </rPr>
      <t xml:space="preserve">        </t>
    </r>
    <r>
      <rPr>
        <sz val="9"/>
        <color rgb="FF000000"/>
        <rFont val="Calibri"/>
        <family val="2"/>
        <scheme val="minor"/>
      </rPr>
      <t>Non-need student loans</t>
    </r>
  </si>
  <si>
    <r>
      <t>8.</t>
    </r>
    <r>
      <rPr>
        <sz val="7"/>
        <color rgb="FF000000"/>
        <rFont val="Calibri"/>
        <family val="2"/>
        <scheme val="minor"/>
      </rPr>
      <t xml:space="preserve">        </t>
    </r>
    <r>
      <rPr>
        <sz val="9"/>
        <color rgb="FF000000"/>
        <rFont val="Calibri"/>
        <family val="2"/>
        <scheme val="minor"/>
      </rPr>
      <t>Non-need parent loans</t>
    </r>
  </si>
  <si>
    <r>
      <t>9.</t>
    </r>
    <r>
      <rPr>
        <sz val="7"/>
        <color rgb="FF000000"/>
        <rFont val="Calibri"/>
        <family val="2"/>
        <scheme val="minor"/>
      </rPr>
      <t xml:space="preserve">        </t>
    </r>
    <r>
      <rPr>
        <sz val="9"/>
        <color rgb="FF000000"/>
        <rFont val="Calibri"/>
        <family val="2"/>
        <scheme val="minor"/>
      </rPr>
      <t>Non-need work</t>
    </r>
  </si>
  <si>
    <r>
      <t xml:space="preserve">Non-need-based self-help aid: </t>
    </r>
    <r>
      <rPr>
        <sz val="9"/>
        <color rgb="FF000000"/>
        <rFont val="Calibri"/>
        <family val="2"/>
        <scheme val="minor"/>
      </rPr>
      <t>Loans and jobs from institutional, state, or other sources for which a student need not demonstrate financial need to qualify.</t>
    </r>
  </si>
  <si>
    <r>
      <t>Work study and employment</t>
    </r>
    <r>
      <rPr>
        <sz val="9"/>
        <color rgb="FF000000"/>
        <rFont val="Calibri"/>
        <family val="2"/>
        <scheme val="minor"/>
      </rPr>
      <t>: Federal and state work study aid, and any employment packaged by your institution in financial aid awards.</t>
    </r>
  </si>
  <si>
    <r>
      <t xml:space="preserve">Comprehensive transition and postsecondary program for students with intellectual disabilities: </t>
    </r>
    <r>
      <rPr>
        <sz val="9"/>
        <color rgb="FF000000"/>
        <rFont val="Calibri"/>
        <family val="2"/>
        <scheme val="minor"/>
      </rPr>
      <t xml:space="preserve">Programs designed to support postsecondary students with intellectual disabilities obtain instruction in academic, career and technical, and independent living  subjects in preparation for employment. </t>
    </r>
  </si>
  <si>
    <t xml:space="preserve">¨     Additional guidance for some terms, particularly those common with the IPEDS survey, may be found here:
https://surveys.nces.ed.gov/ipeds/public/glossary </t>
  </si>
  <si>
    <r>
      <t xml:space="preserve">Living learning community: </t>
    </r>
    <r>
      <rPr>
        <sz val="9"/>
        <color rgb="FF000000"/>
        <rFont val="Calibri"/>
        <family val="2"/>
        <scheme val="minor"/>
      </rPr>
      <t xml:space="preserve">Residential programs that allow students to interact with students who share common interests. In addition to living together, students may also participate in shared courses, special events, and group service projects. </t>
    </r>
  </si>
  <si>
    <r>
      <t xml:space="preserve">Permanent Resident or other eligible non-citizen: </t>
    </r>
    <r>
      <rPr>
        <sz val="9"/>
        <color rgb="FF000000"/>
        <rFont val="Calibri"/>
        <family val="2"/>
        <scheme val="minor"/>
      </rPr>
      <t xml:space="preserve">A person who is not a citizen or national of the United States and who has been admitted as a legal immigrant for the purpose of obtaining permanent resident status (and who holds either a registration card [Form I-551 or I-151], a Temporary Resident Card [Form I-688], or an Arrival-Departure Record [Form I-94] with a notation that conveys legal immigrant status, such as Section 207 Refugee, Section 208 Asylee, Conditional Entrant Parolee or Cuban-Haitian). </t>
    </r>
  </si>
  <si>
    <r>
      <t xml:space="preserve">Undergraduate Research: </t>
    </r>
    <r>
      <rPr>
        <sz val="9"/>
        <color rgb="FF000000"/>
        <rFont val="Calibri"/>
        <family val="2"/>
        <scheme val="minor"/>
      </rPr>
      <t xml:space="preserve">Opportunities offered to undergraduate students to make original contributions in an academic discipline via the exploration of a specific research topic. Research opportunities may or may not be associated with a specific course or earn credit. </t>
    </r>
  </si>
  <si>
    <t>5_16_86_3109</t>
  </si>
  <si>
    <t>7_26_123_753</t>
  </si>
  <si>
    <r>
      <rPr>
        <b/>
        <sz val="14"/>
        <rFont val="Arial"/>
        <family val="2"/>
      </rPr>
      <t xml:space="preserve">First-time, first-year students: </t>
    </r>
    <r>
      <rPr>
        <sz val="14"/>
        <rFont val="Arial"/>
        <family val="2"/>
      </rPr>
      <t xml:space="preserve">Provide the number of degree-seeking, first-time, first-year students who applied, were admitted, and enrolled (full- or part-time) in </t>
    </r>
    <r>
      <rPr>
        <b/>
        <sz val="14"/>
        <rFont val="Arial"/>
        <family val="2"/>
      </rPr>
      <t xml:space="preserve">Fall </t>
    </r>
    <r>
      <rPr>
        <b/>
        <sz val="14"/>
        <color theme="1"/>
        <rFont val="Arial"/>
        <family val="2"/>
      </rPr>
      <t>2022</t>
    </r>
    <r>
      <rPr>
        <sz val="14"/>
        <rFont val="Arial"/>
        <family val="2"/>
      </rPr>
      <t xml:space="preserve">. </t>
    </r>
  </si>
  <si>
    <r>
      <t xml:space="preserve">If yes, please answer the questions below for </t>
    </r>
    <r>
      <rPr>
        <b/>
        <sz val="14"/>
        <rFont val="Arial"/>
        <family val="2"/>
      </rPr>
      <t xml:space="preserve">Fall </t>
    </r>
    <r>
      <rPr>
        <b/>
        <sz val="14"/>
        <color theme="1"/>
        <rFont val="Arial"/>
        <family val="2"/>
      </rPr>
      <t>2022</t>
    </r>
    <r>
      <rPr>
        <sz val="14"/>
        <rFont val="Arial"/>
        <family val="2"/>
      </rPr>
      <t xml:space="preserve"> admissions:</t>
    </r>
  </si>
  <si>
    <r>
      <t xml:space="preserve">     •     </t>
    </r>
    <r>
      <rPr>
        <sz val="12"/>
        <color indexed="8"/>
        <rFont val="Arial"/>
        <family val="2"/>
      </rPr>
      <t>If you consider the highest scores from either submission, use the highest combination of scores 
            (e.g., verbal from one submission, math from the other).</t>
    </r>
  </si>
  <si>
    <r>
      <t xml:space="preserve">     •     </t>
    </r>
    <r>
      <rPr>
        <sz val="12"/>
        <color indexed="8"/>
        <rFont val="Arial"/>
        <family val="2"/>
      </rPr>
      <t>If you average the scores, use the average to report the scores.</t>
    </r>
  </si>
  <si>
    <r>
      <t xml:space="preserve">Provide information for </t>
    </r>
    <r>
      <rPr>
        <b/>
        <sz val="13"/>
        <color indexed="8"/>
        <rFont val="Arial"/>
        <family val="2"/>
      </rPr>
      <t>ALL enrolled, degree-seeking, full-time and part-time, first-time, first-year students</t>
    </r>
    <r>
      <rPr>
        <sz val="13"/>
        <color indexed="8"/>
        <rFont val="Arial"/>
        <family val="2"/>
      </rPr>
      <t xml:space="preserve"> enrolled in </t>
    </r>
    <r>
      <rPr>
        <b/>
        <sz val="13"/>
        <color indexed="8"/>
        <rFont val="Arial"/>
        <family val="2"/>
      </rPr>
      <t xml:space="preserve">Fall </t>
    </r>
    <r>
      <rPr>
        <b/>
        <sz val="13"/>
        <color theme="1"/>
        <rFont val="Arial"/>
        <family val="2"/>
      </rPr>
      <t>2022</t>
    </r>
    <r>
      <rPr>
        <sz val="13"/>
        <color indexed="8"/>
        <rFont val="Arial"/>
        <family val="2"/>
      </rPr>
      <t>, including students who began studies during summer, international students/nonresident aliens, and students admitted under special arrangements.</t>
    </r>
  </si>
  <si>
    <r>
      <t xml:space="preserve">Percent and number of first-time, first-year students enrolled in Fall </t>
    </r>
    <r>
      <rPr>
        <b/>
        <sz val="12"/>
        <color theme="1"/>
        <rFont val="Arial"/>
        <family val="2"/>
      </rPr>
      <t>2022</t>
    </r>
    <r>
      <rPr>
        <b/>
        <sz val="12"/>
        <rFont val="Arial"/>
        <family val="2"/>
      </rPr>
      <t xml:space="preserve"> who submitted national standardized (SAT/ACT) test scores.</t>
    </r>
  </si>
  <si>
    <r>
      <t xml:space="preserve">For the Fall </t>
    </r>
    <r>
      <rPr>
        <b/>
        <sz val="12"/>
        <color theme="1"/>
        <rFont val="Arial"/>
        <family val="2"/>
      </rPr>
      <t>2022</t>
    </r>
    <r>
      <rPr>
        <b/>
        <sz val="12"/>
        <rFont val="Arial"/>
        <family val="2"/>
      </rPr>
      <t xml:space="preserve"> entering class:</t>
    </r>
  </si>
  <si>
    <t>1_2_13_92</t>
  </si>
  <si>
    <r>
      <t xml:space="preserve">Provide numbers of students for each of the following categories as of the institution's official fall reporting date or as of </t>
    </r>
    <r>
      <rPr>
        <b/>
        <u/>
        <sz val="10"/>
        <rFont val="Arial"/>
        <family val="2"/>
      </rPr>
      <t xml:space="preserve">October 13, </t>
    </r>
    <r>
      <rPr>
        <b/>
        <u/>
        <sz val="10"/>
        <color theme="1"/>
        <rFont val="Arial"/>
        <family val="2"/>
      </rPr>
      <t>2022</t>
    </r>
    <r>
      <rPr>
        <b/>
        <u/>
        <sz val="10"/>
        <rFont val="Arial"/>
        <family val="2"/>
      </rPr>
      <t>.</t>
    </r>
  </si>
  <si>
    <r>
      <t xml:space="preserve">Provide numbers of undergraduate students for each of the following categories as of the institution’s official fall reporting date or as of </t>
    </r>
    <r>
      <rPr>
        <b/>
        <u/>
        <sz val="10"/>
        <rFont val="Arial"/>
        <family val="2"/>
      </rPr>
      <t xml:space="preserve">October 13, </t>
    </r>
    <r>
      <rPr>
        <b/>
        <u/>
        <sz val="10"/>
        <color theme="1"/>
        <rFont val="Arial"/>
        <family val="2"/>
      </rPr>
      <t>2022</t>
    </r>
    <r>
      <rPr>
        <sz val="10"/>
        <rFont val="Arial"/>
        <family val="2"/>
      </rPr>
      <t xml:space="preserve">. </t>
    </r>
  </si>
  <si>
    <r>
      <t xml:space="preserve">Number of degrees awarded by your institution from </t>
    </r>
    <r>
      <rPr>
        <b/>
        <u/>
        <sz val="10"/>
        <rFont val="Arial"/>
        <family val="2"/>
      </rPr>
      <t xml:space="preserve">July 1, </t>
    </r>
    <r>
      <rPr>
        <b/>
        <u/>
        <sz val="10"/>
        <color theme="1"/>
        <rFont val="Arial"/>
        <family val="2"/>
      </rPr>
      <t>2021, to June 30, 2022</t>
    </r>
    <r>
      <rPr>
        <b/>
        <sz val="10"/>
        <rFont val="Arial"/>
        <family val="2"/>
      </rPr>
      <t>.</t>
    </r>
  </si>
  <si>
    <r>
      <t xml:space="preserve">•     For complete instructions and definitions of data elements, see the IPEDS GRS Forms and Instructions 
      for the </t>
    </r>
    <r>
      <rPr>
        <sz val="10"/>
        <color theme="1"/>
        <rFont val="Arial"/>
        <family val="2"/>
      </rPr>
      <t>2022-2023</t>
    </r>
    <r>
      <rPr>
        <sz val="10"/>
        <rFont val="Arial"/>
        <family val="2"/>
      </rPr>
      <t xml:space="preserve"> Survey. </t>
    </r>
    <r>
      <rPr>
        <u/>
        <sz val="10"/>
        <rFont val="Arial"/>
        <family val="2"/>
      </rPr>
      <t>https://nces.ed.gov/ipeds/use-the-data/survey-components/9/graduation-rates</t>
    </r>
    <r>
      <rPr>
        <sz val="10"/>
        <rFont val="Arial"/>
        <family val="2"/>
      </rPr>
      <t xml:space="preserve"> </t>
    </r>
  </si>
  <si>
    <r>
      <rPr>
        <b/>
        <sz val="10"/>
        <rFont val="Arial"/>
        <family val="2"/>
      </rPr>
      <t xml:space="preserve">In the following section for bachelor’s or equivalent programs, please disaggregate the Fall </t>
    </r>
    <r>
      <rPr>
        <b/>
        <sz val="10"/>
        <color theme="1"/>
        <rFont val="Arial"/>
        <family val="2"/>
      </rPr>
      <t xml:space="preserve">2015 and Fall 2016 </t>
    </r>
    <r>
      <rPr>
        <b/>
        <sz val="10"/>
        <rFont val="Arial"/>
        <family val="2"/>
      </rPr>
      <t>cohorts (formerly CDS B4-B11) into four groups:</t>
    </r>
    <r>
      <rPr>
        <sz val="10"/>
        <rFont val="Arial"/>
        <family val="2"/>
      </rPr>
      <t xml:space="preserve">
•     Students who received a Federal Pell Grant*
•     Recipients of a subsidized Stafford Loan who did not receive a Pell Grant
•     Students who did not receive either a Pell Grant or a subsidized Stafford Loan
•     Total (all students, regardless of Pell Grant or subsidized loan status)
*Students who received both a Federal Pell Grant and a subsidized Stafford Loan should be reported in the "Recipients of a Federal Pell Grant" column.
For each graduation rate grid below, the numbers in the first three columns for Questions A-G should sum to the cohort total in the fourth column (formerly CDS B4-B11).</t>
    </r>
  </si>
  <si>
    <r>
      <t xml:space="preserve">Please provide data for the </t>
    </r>
    <r>
      <rPr>
        <b/>
        <sz val="10"/>
        <color theme="1"/>
        <rFont val="Arial"/>
        <family val="2"/>
      </rPr>
      <t>Fall 2016</t>
    </r>
    <r>
      <rPr>
        <sz val="10"/>
        <color theme="1"/>
        <rFont val="Arial"/>
        <family val="2"/>
      </rPr>
      <t xml:space="preserve"> cohort if available. If Fall 2016 cohort data are not available, provide data for the</t>
    </r>
    <r>
      <rPr>
        <b/>
        <sz val="10"/>
        <color theme="1"/>
        <rFont val="Arial"/>
        <family val="2"/>
      </rPr>
      <t xml:space="preserve"> Fall 2015</t>
    </r>
    <r>
      <rPr>
        <sz val="10"/>
        <color theme="1"/>
        <rFont val="Arial"/>
        <family val="2"/>
      </rPr>
      <t xml:space="preserve"> cohort.</t>
    </r>
  </si>
  <si>
    <t>Fall 2016 Cohort</t>
  </si>
  <si>
    <t>Initial 2016 cohort of first-time, full-time, bachelor's (or equivalent) degree-seeking undergraduate students</t>
  </si>
  <si>
    <r>
      <rPr>
        <sz val="9"/>
        <color theme="1"/>
        <rFont val="Arial"/>
        <family val="2"/>
      </rPr>
      <t xml:space="preserve">Of the initial 2016 cohort, how many did not persist and did not graduate for the following reasons: </t>
    </r>
    <r>
      <rPr>
        <sz val="8"/>
        <color theme="1"/>
        <rFont val="Arial"/>
        <family val="2"/>
      </rPr>
      <t xml:space="preserve">
• Deceased
• Permanently Disabled
• Armed Forces
• Foreign Aid Service of the Federal Government
• Official church missions
• Report Total Allowable Exclusions</t>
    </r>
  </si>
  <si>
    <t>Final 2016 cohort, after adjusting for allowable exclusions</t>
  </si>
  <si>
    <t>Of the initial 2016 cohort, how many completed the program in four years or less (by Aug. 31, 2020)</t>
  </si>
  <si>
    <t>Of the initial 2016 cohort, how many completed the program in more than four years but in five years or less (after Aug. 31, 2020 and by Aug. 31, 2021)</t>
  </si>
  <si>
    <t>Of the initial 2016 cohort, how many completed the program in more than five years but in six years or less (after Aug. 31, 2021 and by Aug. 31, 2022)</t>
  </si>
  <si>
    <t>Six-year graduation rate for 2016 cohort (G divided by C)</t>
  </si>
  <si>
    <t>Fall 2015 Cohort</t>
  </si>
  <si>
    <t>Initial 2015 cohort of first-time, full-time, bachelor's (or equivalent) degree-seeking undergraduate students</t>
  </si>
  <si>
    <r>
      <rPr>
        <sz val="9"/>
        <color theme="1"/>
        <rFont val="Arial"/>
        <family val="2"/>
      </rPr>
      <t xml:space="preserve">Of the initial 2015 cohort, how many did not persist and did not graduate for the following reasons: </t>
    </r>
    <r>
      <rPr>
        <sz val="7"/>
        <color theme="1"/>
        <rFont val="Arial"/>
        <family val="2"/>
      </rPr>
      <t xml:space="preserve">
</t>
    </r>
    <r>
      <rPr>
        <sz val="8"/>
        <color theme="1"/>
        <rFont val="Arial"/>
        <family val="2"/>
      </rPr>
      <t>• Deceased
• Permanently Disabled
• Armed Forces
• Foreign Aid Service of the Federal Government
• Official church missions
• Report Total Allowable Exclusions</t>
    </r>
  </si>
  <si>
    <t>Final 2015 cohort, after adjusting for allowable exclusions</t>
  </si>
  <si>
    <t>Of the initial 2015 cohort, how many completed the program in four years or less (by Aug. 31, 2019)</t>
  </si>
  <si>
    <t>Of the initial 2015 cohort, how many completed the program in more than four years but in five years or less (after Aug. 31, 2019 and by Aug. 31, 2020)</t>
  </si>
  <si>
    <t>Of the initial 2015 cohort, how many completed the program in more than five years but in six years or less (after Aug. 31, 2020 and by Aug. 31, 2021)</t>
  </si>
  <si>
    <t>Six-year graduation rate for 2015 cohort (G divided by C)</t>
  </si>
  <si>
    <r>
      <t xml:space="preserve">Please provide data for the </t>
    </r>
    <r>
      <rPr>
        <b/>
        <sz val="10"/>
        <color theme="1"/>
        <rFont val="Arial"/>
        <family val="2"/>
      </rPr>
      <t>2019</t>
    </r>
    <r>
      <rPr>
        <sz val="10"/>
        <color theme="1"/>
        <rFont val="Arial"/>
        <family val="2"/>
      </rPr>
      <t xml:space="preserve"> cohort if available. If </t>
    </r>
    <r>
      <rPr>
        <b/>
        <sz val="10"/>
        <color theme="1"/>
        <rFont val="Arial"/>
        <family val="2"/>
      </rPr>
      <t>2019</t>
    </r>
    <r>
      <rPr>
        <sz val="10"/>
        <color theme="1"/>
        <rFont val="Arial"/>
        <family val="2"/>
      </rPr>
      <t xml:space="preserve"> cohort data are not available, provide data for the </t>
    </r>
    <r>
      <rPr>
        <b/>
        <sz val="10"/>
        <color theme="1"/>
        <rFont val="Arial"/>
        <family val="2"/>
      </rPr>
      <t>2018</t>
    </r>
    <r>
      <rPr>
        <sz val="10"/>
        <color theme="1"/>
        <rFont val="Arial"/>
        <family val="2"/>
      </rPr>
      <t xml:space="preserve"> cohort.</t>
    </r>
  </si>
  <si>
    <t>2019 Cohort</t>
  </si>
  <si>
    <t>2018 Cohort</t>
  </si>
  <si>
    <t xml:space="preserve">Report for the cohort of all full-time, first-time bachelor’s (or equivalent) degree-seeking undergraduate students who entered in Fall 2021 (or the preceding summer term). </t>
  </si>
  <si>
    <t>For the cohort of all full-time bachelor’s (or equivalent) degree-seeking undergraduate students who entered your institution as freshmen in Fall 2021 (or the preceding summer term), what percentage was enrolled at your institution as of the date your institution calculates its official enrollment in Fall 2022.</t>
  </si>
  <si>
    <r>
      <t xml:space="preserve">Provide the number of students who applied, were admitted, and enrolled as degree-seeking transfer students in </t>
    </r>
    <r>
      <rPr>
        <b/>
        <u/>
        <sz val="10"/>
        <color theme="1"/>
        <rFont val="Arial"/>
        <family val="2"/>
      </rPr>
      <t>Fall 2022.</t>
    </r>
  </si>
  <si>
    <t>Percentages of first-time, first-year (freshman) degree-seeking students and degree-seeking undergraduates enrolled in Fall 2021 who fit the following categories:</t>
  </si>
  <si>
    <t>Provide 2023-2024 academic year costs of attendance for the following categories that are applicable to your institution.</t>
  </si>
  <si>
    <t>Check here if your institution's 2023-2024 academic year costs of attendance are not available at this time and provide an approximate date (i.e., month/day) when your institution's final 2023-2024 academic year costs of attendance will be available:</t>
  </si>
  <si>
    <r>
      <t xml:space="preserve">List the typical tuition, required fees, and room and board for a full-time undergraduate student for the </t>
    </r>
    <r>
      <rPr>
        <b/>
        <sz val="10"/>
        <color indexed="8"/>
        <rFont val="Arial"/>
        <family val="2"/>
      </rPr>
      <t xml:space="preserve">FULL </t>
    </r>
    <r>
      <rPr>
        <b/>
        <sz val="10"/>
        <color theme="1"/>
        <rFont val="Arial"/>
        <family val="2"/>
      </rPr>
      <t>2023-2024</t>
    </r>
    <r>
      <rPr>
        <sz val="10"/>
        <color indexed="8"/>
        <rFont val="Arial"/>
        <family val="2"/>
      </rPr>
      <t xml:space="preserve"> academic year. (30 semester hours or 45 quarter hours for institutions that derive annual tuition by multiplying credit hour cost by number of credits). </t>
    </r>
  </si>
  <si>
    <t>Please report the number of instructional faculty members in each category for Fall 2022. Include faculty who are on your institution’s payroll on the census date your institution uses for IPEDS/AAUP.</t>
  </si>
  <si>
    <t>Report the Fall 2022 ratio of full-time equivalent students (full-time plus 1/3 part time) to full-time equivalent instructional faculty (full time plus 1/3 part time). In the ratio calculations, exclude both faculty and students in stand-alone graduate or professional programs such as medicine, law, veterinary, dentistry, social work, business, or public health in which faculty teach virtually only graduate level students.</t>
  </si>
  <si>
    <t>In the table below, please use the following definitions to report information about the size of classes and class sections offered in the Fall 2022 term.</t>
  </si>
  <si>
    <r>
      <t xml:space="preserve">Using the above definitions, please report for each of the following class-size intervals the number of </t>
    </r>
    <r>
      <rPr>
        <i/>
        <sz val="10"/>
        <color theme="1"/>
        <rFont val="Arial"/>
        <family val="2"/>
      </rPr>
      <t>class sections</t>
    </r>
    <r>
      <rPr>
        <sz val="10"/>
        <color theme="1"/>
        <rFont val="Arial"/>
        <family val="2"/>
      </rPr>
      <t xml:space="preserve"> and </t>
    </r>
    <r>
      <rPr>
        <i/>
        <sz val="10"/>
        <color theme="1"/>
        <rFont val="Arial"/>
        <family val="2"/>
      </rPr>
      <t>class subsections</t>
    </r>
    <r>
      <rPr>
        <sz val="10"/>
        <color theme="1"/>
        <rFont val="Arial"/>
        <family val="2"/>
      </rPr>
      <t xml:space="preserve"> offered in Fall 2022. For example, a lecture class with 800 students who met at another time in 40 separate labs with 20 students should be counted once in the “100+” column in the class section column and 40 times under the “20-29” column of the class subsections table. </t>
    </r>
  </si>
  <si>
    <t>Erika</t>
  </si>
  <si>
    <t>Farfan</t>
  </si>
  <si>
    <t>Associate VP for Institutional Research</t>
  </si>
  <si>
    <t>Office of Institutional Research</t>
  </si>
  <si>
    <t>103 College Drive</t>
  </si>
  <si>
    <t>Gambier</t>
  </si>
  <si>
    <t>Ohio</t>
  </si>
  <si>
    <t>USA</t>
  </si>
  <si>
    <t>427-5571</t>
  </si>
  <si>
    <t>ir@kenyon.edu</t>
  </si>
  <si>
    <t>Y</t>
  </si>
  <si>
    <t>https://www.kenyon.edu/offices-and-services/office-of-institutional-research/common-data-sets/</t>
  </si>
  <si>
    <t>Kenyon College</t>
  </si>
  <si>
    <t>103 Chase Ave</t>
  </si>
  <si>
    <t>Gambier, OH 43022</t>
  </si>
  <si>
    <t>kenyon.edu</t>
  </si>
  <si>
    <t>740-427-5776</t>
  </si>
  <si>
    <t>427-5000</t>
  </si>
  <si>
    <t>admissions@kenyon.edu</t>
  </si>
  <si>
    <t>https://www.kenyon.edu/campus-life/diversity-inclusion/odei/</t>
  </si>
  <si>
    <t>Lowell House</t>
  </si>
  <si>
    <t>43022-9623</t>
  </si>
  <si>
    <t>Yes</t>
  </si>
  <si>
    <t>quantitative reasoning</t>
  </si>
  <si>
    <t>student groups, farm</t>
  </si>
  <si>
    <t>CSS/Financial Aid PROFILE (or an Institutional Form)</t>
  </si>
  <si>
    <t>N/A</t>
  </si>
  <si>
    <t>1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</si>
</sst>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8" formatCode="&quot;$&quot;#,##0.00_);[Red]\(&quot;$&quot;#,##0.00\)"/>
    <numFmt numFmtId="44" formatCode="_(&quot;$&quot;* #,##0.00_);_(&quot;$&quot;* \(#,##0.00\);_(&quot;$&quot;* &quot;-&quot;??_);_(@_)"/>
    <numFmt numFmtId="43" formatCode="_(* #,##0.00_);_(* \(#,##0.00\);_(* &quot;-&quot;??_);_(@_)"/>
    <numFmt numFmtId="164" formatCode="&quot;$&quot;#,##0;[Red]&quot;$&quot;#,##0"/>
    <numFmt numFmtId="165" formatCode="0.0%"/>
    <numFmt numFmtId="166" formatCode="_(&quot;$&quot;\ \ \ #,##0_);_(&quot;$&quot;* \(#,##0\);_(&quot;$&quot;* &quot;-&quot;??_);_(@_)"/>
    <numFmt numFmtId="167" formatCode="_(&quot;$&quot;\ \ \ #,##0_);_(&quot;$&quot;* \(#,##0\);_(&quot;$&quot;\ \ &quot;0&quot;??_);_(@_)"/>
    <numFmt numFmtId="168" formatCode="&quot;$&quot;#,##0"/>
    <numFmt numFmtId="169" formatCode="m/d"/>
    <numFmt numFmtId="170" formatCode="&quot;$&quot;#,##0.00"/>
    <numFmt numFmtId="171" formatCode="[&lt;=9999999]###\-####;\(###\)\ ###\-####"/>
    <numFmt numFmtId="172" formatCode="mmmm\ d\,\ yyyy"/>
    <numFmt numFmtId="173" formatCode="#,##0.0_);\(#,##0.0\)"/>
  </numFmts>
  <fonts count="98" x14ac:knownFonts="1">
    <font>
      <sz val="12"/>
      <color theme="1"/>
      <name val="Calibri"/>
      <family val="2"/>
      <scheme val="minor"/>
    </font>
    <font>
      <sz val="10"/>
      <name val="Arial"/>
      <family val="2"/>
    </font>
    <font>
      <b/>
      <sz val="14"/>
      <name val="Arial"/>
      <family val="2"/>
    </font>
    <font>
      <b/>
      <sz val="11"/>
      <name val="Arial"/>
      <family val="2"/>
    </font>
    <font>
      <b/>
      <sz val="10"/>
      <name val="Arial"/>
      <family val="2"/>
    </font>
    <font>
      <sz val="10"/>
      <color indexed="8"/>
      <name val="Arial"/>
      <family val="2"/>
    </font>
    <font>
      <b/>
      <sz val="10"/>
      <color indexed="8"/>
      <name val="Arial"/>
      <family val="2"/>
    </font>
    <font>
      <b/>
      <sz val="10"/>
      <color rgb="FFFF0000"/>
      <name val="Arial"/>
      <family val="2"/>
    </font>
    <font>
      <b/>
      <sz val="12"/>
      <color indexed="8"/>
      <name val="Arial"/>
      <family val="2"/>
    </font>
    <font>
      <sz val="12"/>
      <color indexed="8"/>
      <name val="Arial"/>
      <family val="2"/>
    </font>
    <font>
      <sz val="10"/>
      <color rgb="FF00B050"/>
      <name val="Arial"/>
      <family val="2"/>
    </font>
    <font>
      <b/>
      <sz val="10"/>
      <color rgb="FF00B050"/>
      <name val="Arial"/>
      <family val="2"/>
    </font>
    <font>
      <u/>
      <sz val="10"/>
      <name val="Arial"/>
      <family val="2"/>
    </font>
    <font>
      <sz val="10"/>
      <color rgb="FFFF0000"/>
      <name val="Arial"/>
      <family val="2"/>
    </font>
    <font>
      <sz val="9"/>
      <name val="Arial"/>
      <family val="2"/>
    </font>
    <font>
      <b/>
      <sz val="9"/>
      <name val="Arial"/>
      <family val="2"/>
    </font>
    <font>
      <sz val="9"/>
      <color rgb="FF00B050"/>
      <name val="Arial"/>
      <family val="2"/>
    </font>
    <font>
      <u/>
      <sz val="9"/>
      <name val="Arial"/>
      <family val="2"/>
    </font>
    <font>
      <sz val="8"/>
      <name val="Arial"/>
      <family val="2"/>
    </font>
    <font>
      <b/>
      <sz val="12"/>
      <name val="Arial"/>
      <family val="2"/>
    </font>
    <font>
      <sz val="11"/>
      <color theme="1"/>
      <name val="Calibri"/>
      <family val="2"/>
      <scheme val="minor"/>
    </font>
    <font>
      <i/>
      <sz val="10"/>
      <name val="Arial"/>
      <family val="2"/>
    </font>
    <font>
      <b/>
      <i/>
      <sz val="10"/>
      <name val="Arial"/>
      <family val="2"/>
    </font>
    <font>
      <i/>
      <sz val="9"/>
      <name val="Arial"/>
      <family val="2"/>
    </font>
    <font>
      <b/>
      <i/>
      <sz val="9"/>
      <name val="Arial"/>
      <family val="2"/>
    </font>
    <font>
      <sz val="7"/>
      <name val="Arial"/>
      <family val="2"/>
    </font>
    <font>
      <sz val="9"/>
      <color rgb="FF222222"/>
      <name val="Arial"/>
      <family val="2"/>
    </font>
    <font>
      <sz val="8"/>
      <color rgb="FF222222"/>
      <name val="Arial"/>
      <family val="2"/>
    </font>
    <font>
      <b/>
      <sz val="10"/>
      <color rgb="FF222222"/>
      <name val="Arial"/>
      <family val="2"/>
    </font>
    <font>
      <b/>
      <u/>
      <sz val="10"/>
      <name val="Arial"/>
      <family val="2"/>
    </font>
    <font>
      <u/>
      <sz val="10"/>
      <color indexed="12"/>
      <name val="Arial"/>
      <family val="2"/>
    </font>
    <font>
      <u/>
      <sz val="10"/>
      <color rgb="FF0000FF"/>
      <name val="Arial"/>
      <family val="2"/>
    </font>
    <font>
      <b/>
      <i/>
      <sz val="10"/>
      <color indexed="8"/>
      <name val="Arial"/>
      <family val="2"/>
    </font>
    <font>
      <sz val="9"/>
      <color rgb="FF000000"/>
      <name val="Arial"/>
      <family val="2"/>
    </font>
    <font>
      <sz val="10"/>
      <color rgb="FF000000"/>
      <name val="Arial"/>
      <family val="2"/>
    </font>
    <font>
      <b/>
      <sz val="8"/>
      <name val="Arial"/>
      <family val="2"/>
    </font>
    <font>
      <b/>
      <sz val="7"/>
      <name val="Arial"/>
      <family val="2"/>
    </font>
    <font>
      <sz val="12"/>
      <name val="Arial"/>
      <family val="2"/>
    </font>
    <font>
      <sz val="10"/>
      <color theme="0"/>
      <name val="Arial"/>
      <family val="2"/>
    </font>
    <font>
      <b/>
      <sz val="10"/>
      <color theme="0"/>
      <name val="Arial"/>
      <family val="2"/>
    </font>
    <font>
      <b/>
      <sz val="8"/>
      <color indexed="8"/>
      <name val="Arial"/>
      <family val="2"/>
    </font>
    <font>
      <sz val="14"/>
      <color theme="1"/>
      <name val="Calibri"/>
      <family val="2"/>
      <scheme val="minor"/>
    </font>
    <font>
      <sz val="14"/>
      <color indexed="8"/>
      <name val="Arial"/>
      <family val="2"/>
    </font>
    <font>
      <sz val="14"/>
      <name val="Arial"/>
      <family val="2"/>
    </font>
    <font>
      <b/>
      <sz val="14"/>
      <color indexed="8"/>
      <name val="Arial"/>
      <family val="2"/>
    </font>
    <font>
      <sz val="14"/>
      <name val="Calibri"/>
      <family val="2"/>
    </font>
    <font>
      <sz val="10"/>
      <color theme="1"/>
      <name val="Arial"/>
      <family val="2"/>
    </font>
    <font>
      <sz val="12"/>
      <color rgb="FF000000"/>
      <name val="Calibri"/>
      <family val="2"/>
    </font>
    <font>
      <b/>
      <sz val="10"/>
      <color rgb="FF000000"/>
      <name val="Arial"/>
      <family val="2"/>
    </font>
    <font>
      <sz val="10"/>
      <color theme="0" tint="-0.249977111117893"/>
      <name val="Arial"/>
      <family val="2"/>
    </font>
    <font>
      <sz val="8"/>
      <name val="Calibri"/>
      <family val="2"/>
      <scheme val="minor"/>
    </font>
    <font>
      <sz val="12"/>
      <color theme="0" tint="-0.249977111117893"/>
      <name val="Calibri"/>
      <family val="2"/>
      <scheme val="minor"/>
    </font>
    <font>
      <sz val="12"/>
      <color theme="0" tint="-0.14999847407452621"/>
      <name val="Calibri"/>
      <family val="2"/>
      <scheme val="minor"/>
    </font>
    <font>
      <b/>
      <sz val="10"/>
      <color theme="0" tint="-0.249977111117893"/>
      <name val="Arial"/>
      <family val="2"/>
    </font>
    <font>
      <sz val="10"/>
      <color theme="0" tint="-0.14999847407452621"/>
      <name val="Arial"/>
      <family val="2"/>
    </font>
    <font>
      <b/>
      <sz val="10"/>
      <color theme="1"/>
      <name val="Arial"/>
      <family val="2"/>
    </font>
    <font>
      <sz val="14"/>
      <color theme="1"/>
      <name val="Arial"/>
      <family val="2"/>
    </font>
    <font>
      <b/>
      <sz val="9"/>
      <color indexed="8"/>
      <name val="Arial"/>
      <family val="2"/>
    </font>
    <font>
      <sz val="9"/>
      <color indexed="8"/>
      <name val="Arial"/>
      <family val="2"/>
    </font>
    <font>
      <b/>
      <i/>
      <sz val="12"/>
      <name val="Arial"/>
      <family val="2"/>
    </font>
    <font>
      <b/>
      <sz val="12"/>
      <color rgb="FF00B050"/>
      <name val="Arial"/>
      <family val="2"/>
    </font>
    <font>
      <b/>
      <sz val="13"/>
      <name val="Arial"/>
      <family val="2"/>
    </font>
    <font>
      <sz val="13"/>
      <color indexed="8"/>
      <name val="Arial"/>
      <family val="2"/>
    </font>
    <font>
      <sz val="13"/>
      <name val="Arial"/>
      <family val="2"/>
    </font>
    <font>
      <b/>
      <sz val="13"/>
      <color indexed="8"/>
      <name val="Arial"/>
      <family val="2"/>
    </font>
    <font>
      <sz val="12"/>
      <color rgb="FF000000"/>
      <name val="Arial"/>
      <family val="2"/>
    </font>
    <font>
      <b/>
      <sz val="13"/>
      <color rgb="FF00B050"/>
      <name val="Arial"/>
      <family val="2"/>
    </font>
    <font>
      <i/>
      <sz val="12"/>
      <color indexed="8"/>
      <name val="Arial"/>
      <family val="2"/>
    </font>
    <font>
      <i/>
      <sz val="12"/>
      <name val="Arial"/>
      <family val="2"/>
    </font>
    <font>
      <sz val="12"/>
      <color theme="0"/>
      <name val="Calibri"/>
      <family val="2"/>
      <scheme val="minor"/>
    </font>
    <font>
      <b/>
      <sz val="10"/>
      <color theme="0" tint="-0.14999847407452621"/>
      <name val="Arial"/>
      <family val="2"/>
    </font>
    <font>
      <sz val="12"/>
      <color theme="0"/>
      <name val="Arial"/>
      <family val="2"/>
    </font>
    <font>
      <sz val="14"/>
      <color theme="0"/>
      <name val="Arial"/>
      <family val="2"/>
    </font>
    <font>
      <b/>
      <sz val="11"/>
      <color theme="1"/>
      <name val="Calibri"/>
      <family val="2"/>
      <scheme val="minor"/>
    </font>
    <font>
      <sz val="11"/>
      <name val="Calibri"/>
      <family val="2"/>
      <scheme val="minor"/>
    </font>
    <font>
      <sz val="11"/>
      <color rgb="FF000000"/>
      <name val="Calibri"/>
      <family val="2"/>
      <scheme val="minor"/>
    </font>
    <font>
      <sz val="11"/>
      <color indexed="8"/>
      <name val="Calibri"/>
      <family val="2"/>
      <scheme val="minor"/>
    </font>
    <font>
      <b/>
      <sz val="11"/>
      <name val="Calibri"/>
      <family val="2"/>
      <scheme val="minor"/>
    </font>
    <font>
      <b/>
      <sz val="14"/>
      <name val="Calibri"/>
      <family val="2"/>
      <scheme val="minor"/>
    </font>
    <font>
      <sz val="10"/>
      <name val="Calibri"/>
      <family val="2"/>
      <scheme val="minor"/>
    </font>
    <font>
      <sz val="9"/>
      <color rgb="FF000000"/>
      <name val="Calibri"/>
      <family val="2"/>
      <scheme val="minor"/>
    </font>
    <font>
      <sz val="7"/>
      <color rgb="FF000000"/>
      <name val="Calibri"/>
      <family val="2"/>
      <scheme val="minor"/>
    </font>
    <font>
      <b/>
      <sz val="9"/>
      <color rgb="FF000000"/>
      <name val="Calibri"/>
      <family val="2"/>
      <scheme val="minor"/>
    </font>
    <font>
      <sz val="9"/>
      <name val="Calibri"/>
      <family val="2"/>
      <scheme val="minor"/>
    </font>
    <font>
      <i/>
      <sz val="9"/>
      <color rgb="FF000000"/>
      <name val="Calibri"/>
      <family val="2"/>
      <scheme val="minor"/>
    </font>
    <font>
      <b/>
      <sz val="9"/>
      <name val="Calibri"/>
      <family val="2"/>
      <scheme val="minor"/>
    </font>
    <font>
      <sz val="9"/>
      <color rgb="FF0000FF"/>
      <name val="Calibri"/>
      <family val="2"/>
      <scheme val="minor"/>
    </font>
    <font>
      <b/>
      <i/>
      <sz val="9"/>
      <color rgb="FF000000"/>
      <name val="Calibri"/>
      <family val="2"/>
      <scheme val="minor"/>
    </font>
    <font>
      <sz val="10"/>
      <color rgb="FF000000"/>
      <name val="Calibri"/>
      <family val="2"/>
      <scheme val="minor"/>
    </font>
    <font>
      <b/>
      <sz val="14"/>
      <color theme="1"/>
      <name val="Arial"/>
      <family val="2"/>
    </font>
    <font>
      <b/>
      <sz val="13"/>
      <color theme="1"/>
      <name val="Arial"/>
      <family val="2"/>
    </font>
    <font>
      <b/>
      <sz val="12"/>
      <color theme="1"/>
      <name val="Arial"/>
      <family val="2"/>
    </font>
    <font>
      <b/>
      <u/>
      <sz val="10"/>
      <color theme="1"/>
      <name val="Arial"/>
      <family val="2"/>
    </font>
    <font>
      <b/>
      <i/>
      <sz val="10"/>
      <color theme="1"/>
      <name val="Arial"/>
      <family val="2"/>
    </font>
    <font>
      <sz val="9"/>
      <color theme="1"/>
      <name val="Arial"/>
      <family val="2"/>
    </font>
    <font>
      <sz val="8"/>
      <color theme="1"/>
      <name val="Arial"/>
      <family val="2"/>
    </font>
    <font>
      <sz val="7"/>
      <color theme="1"/>
      <name val="Arial"/>
      <family val="2"/>
    </font>
    <font>
      <i/>
      <sz val="10"/>
      <color theme="1"/>
      <name val="Arial"/>
      <family val="2"/>
    </font>
  </fonts>
  <fills count="8">
    <fill>
      <patternFill patternType="none"/>
    </fill>
    <fill>
      <patternFill patternType="gray125"/>
    </fill>
    <fill>
      <patternFill patternType="solid">
        <fgColor indexed="22"/>
        <bgColor indexed="64"/>
      </patternFill>
    </fill>
    <fill>
      <patternFill patternType="solid">
        <fgColor theme="0" tint="-0.14999847407452621"/>
        <bgColor indexed="64"/>
      </patternFill>
    </fill>
    <fill>
      <patternFill patternType="solid">
        <fgColor indexed="9"/>
        <bgColor indexed="64"/>
      </patternFill>
    </fill>
    <fill>
      <patternFill patternType="solid">
        <fgColor theme="0"/>
        <bgColor indexed="64"/>
      </patternFill>
    </fill>
    <fill>
      <patternFill patternType="solid">
        <fgColor theme="0" tint="-0.249977111117893"/>
        <bgColor indexed="64"/>
      </patternFill>
    </fill>
    <fill>
      <patternFill patternType="solid">
        <fgColor theme="0" tint="-0.499984740745262"/>
        <bgColor indexed="64"/>
      </patternFill>
    </fill>
  </fills>
  <borders count="28">
    <border>
      <left/>
      <right/>
      <top/>
      <bottom/>
      <diagonal/>
    </border>
    <border>
      <left/>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0" fontId="1" fillId="0" borderId="0"/>
    <xf numFmtId="9"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30" fillId="0" borderId="0" applyNumberFormat="0" applyFill="0" applyBorder="0" applyAlignment="0" applyProtection="0">
      <alignment vertical="top"/>
      <protection locked="0"/>
    </xf>
  </cellStyleXfs>
  <cellXfs count="843">
    <xf numFmtId="0" fontId="0" fillId="0" borderId="0" xfId="0"/>
    <xf numFmtId="0" fontId="1" fillId="0" borderId="0" xfId="1"/>
    <xf numFmtId="0" fontId="1" fillId="0" borderId="0" xfId="1" applyAlignment="1">
      <alignment horizontal="left" vertical="top"/>
    </xf>
    <xf numFmtId="0" fontId="4" fillId="0" borderId="0" xfId="1" applyFont="1" applyAlignment="1">
      <alignment horizontal="left" vertical="top"/>
    </xf>
    <xf numFmtId="0" fontId="5" fillId="0" borderId="0" xfId="1" applyFont="1" applyAlignment="1">
      <alignment horizontal="left" vertical="top" wrapText="1"/>
    </xf>
    <xf numFmtId="0" fontId="1" fillId="0" borderId="0" xfId="1" applyAlignment="1">
      <alignment horizontal="left" vertical="top" wrapText="1"/>
    </xf>
    <xf numFmtId="0" fontId="5" fillId="0" borderId="0" xfId="1" applyFont="1" applyAlignment="1">
      <alignment horizontal="left" vertical="top" wrapText="1" indent="2"/>
    </xf>
    <xf numFmtId="0" fontId="7" fillId="0" borderId="0" xfId="1" applyFont="1" applyAlignment="1">
      <alignment horizontal="left" vertical="top" wrapText="1"/>
    </xf>
    <xf numFmtId="0" fontId="4" fillId="0" borderId="1" xfId="1" applyFont="1" applyBorder="1" applyAlignment="1">
      <alignment horizontal="center" vertical="center" wrapText="1"/>
    </xf>
    <xf numFmtId="0" fontId="6" fillId="0" borderId="1" xfId="1" applyFont="1" applyBorder="1" applyAlignment="1">
      <alignment horizontal="center" vertical="center" wrapText="1"/>
    </xf>
    <xf numFmtId="0" fontId="1" fillId="0" borderId="4" xfId="1" applyBorder="1" applyAlignment="1">
      <alignment horizontal="center" vertical="center"/>
    </xf>
    <xf numFmtId="0" fontId="1" fillId="0" borderId="0" xfId="1" applyAlignment="1">
      <alignment horizontal="left" vertical="center" indent="1"/>
    </xf>
    <xf numFmtId="49" fontId="1" fillId="0" borderId="0" xfId="1" applyNumberFormat="1" applyAlignment="1">
      <alignment horizontal="center" vertical="center"/>
    </xf>
    <xf numFmtId="0" fontId="1" fillId="0" borderId="0" xfId="1" applyAlignment="1">
      <alignment horizontal="left" vertical="top" indent="1"/>
    </xf>
    <xf numFmtId="0" fontId="4" fillId="3" borderId="4" xfId="1" applyFont="1" applyFill="1" applyBorder="1" applyAlignment="1">
      <alignment horizontal="center" vertical="center" wrapText="1"/>
    </xf>
    <xf numFmtId="0" fontId="4" fillId="0" borderId="5" xfId="1" applyFont="1" applyBorder="1"/>
    <xf numFmtId="0" fontId="4" fillId="0" borderId="6" xfId="1" applyFont="1" applyBorder="1"/>
    <xf numFmtId="0" fontId="4" fillId="3" borderId="4" xfId="1" applyFont="1" applyFill="1" applyBorder="1"/>
    <xf numFmtId="0" fontId="4" fillId="3" borderId="7" xfId="1" applyFont="1" applyFill="1" applyBorder="1"/>
    <xf numFmtId="8" fontId="4" fillId="0" borderId="4" xfId="1" applyNumberFormat="1" applyFont="1" applyBorder="1"/>
    <xf numFmtId="8" fontId="4" fillId="3" borderId="4" xfId="1" applyNumberFormat="1" applyFont="1" applyFill="1" applyBorder="1"/>
    <xf numFmtId="8" fontId="4" fillId="3" borderId="7" xfId="1" applyNumberFormat="1" applyFont="1" applyFill="1" applyBorder="1"/>
    <xf numFmtId="0" fontId="1" fillId="3" borderId="4" xfId="1" applyFill="1" applyBorder="1"/>
    <xf numFmtId="164" fontId="4" fillId="0" borderId="4" xfId="1" applyNumberFormat="1" applyFont="1" applyBorder="1"/>
    <xf numFmtId="0" fontId="4" fillId="0" borderId="0" xfId="1" applyFont="1" applyAlignment="1">
      <alignment horizontal="left" vertical="top" wrapText="1"/>
    </xf>
    <xf numFmtId="0" fontId="14" fillId="3" borderId="4" xfId="1" applyFont="1" applyFill="1" applyBorder="1"/>
    <xf numFmtId="0" fontId="14" fillId="3" borderId="7" xfId="1" applyFont="1" applyFill="1" applyBorder="1"/>
    <xf numFmtId="0" fontId="15" fillId="3" borderId="4" xfId="1" applyFont="1" applyFill="1" applyBorder="1" applyAlignment="1">
      <alignment horizontal="center" vertical="center" wrapText="1"/>
    </xf>
    <xf numFmtId="0" fontId="15" fillId="3" borderId="4" xfId="1" applyFont="1" applyFill="1" applyBorder="1" applyAlignment="1">
      <alignment horizontal="center" wrapText="1"/>
    </xf>
    <xf numFmtId="0" fontId="15" fillId="0" borderId="4" xfId="1" applyFont="1" applyBorder="1" applyAlignment="1">
      <alignment vertical="top"/>
    </xf>
    <xf numFmtId="0" fontId="14" fillId="0" borderId="7" xfId="1" applyFont="1" applyBorder="1" applyAlignment="1">
      <alignment vertical="top" wrapText="1"/>
    </xf>
    <xf numFmtId="0" fontId="15" fillId="0" borderId="4" xfId="1" applyFont="1" applyBorder="1" applyAlignment="1">
      <alignment vertical="center"/>
    </xf>
    <xf numFmtId="0" fontId="14" fillId="0" borderId="7" xfId="1" applyFont="1" applyBorder="1" applyAlignment="1">
      <alignment vertical="center" wrapText="1"/>
    </xf>
    <xf numFmtId="0" fontId="14" fillId="0" borderId="4" xfId="1" applyFont="1" applyBorder="1" applyAlignment="1">
      <alignment vertical="top"/>
    </xf>
    <xf numFmtId="0" fontId="14" fillId="0" borderId="0" xfId="1" applyFont="1" applyAlignment="1">
      <alignment vertical="top"/>
    </xf>
    <xf numFmtId="0" fontId="1" fillId="0" borderId="0" xfId="1" applyAlignment="1">
      <alignment wrapText="1"/>
    </xf>
    <xf numFmtId="0" fontId="5" fillId="0" borderId="0" xfId="1" applyFont="1" applyAlignment="1">
      <alignment wrapText="1"/>
    </xf>
    <xf numFmtId="0" fontId="1" fillId="0" borderId="0" xfId="1" applyAlignment="1">
      <alignment horizontal="left" wrapText="1"/>
    </xf>
    <xf numFmtId="0" fontId="4" fillId="0" borderId="0" xfId="1" applyFont="1" applyAlignment="1">
      <alignment horizontal="left" vertical="center"/>
    </xf>
    <xf numFmtId="0" fontId="4" fillId="0" borderId="0" xfId="1" applyFont="1" applyAlignment="1">
      <alignment horizontal="left" vertical="center" wrapText="1"/>
    </xf>
    <xf numFmtId="0" fontId="1" fillId="0" borderId="0" xfId="1" applyAlignment="1">
      <alignment horizontal="left" vertical="center" wrapText="1"/>
    </xf>
    <xf numFmtId="0" fontId="1" fillId="0" borderId="4" xfId="1" applyBorder="1" applyAlignment="1">
      <alignment horizontal="left" vertical="center" wrapText="1"/>
    </xf>
    <xf numFmtId="0" fontId="14" fillId="0" borderId="19" xfId="1" applyFont="1" applyBorder="1" applyAlignment="1">
      <alignment vertical="center" wrapText="1"/>
    </xf>
    <xf numFmtId="0" fontId="14" fillId="0" borderId="4" xfId="1" applyFont="1" applyBorder="1" applyAlignment="1">
      <alignment vertical="center" wrapText="1"/>
    </xf>
    <xf numFmtId="0" fontId="1" fillId="0" borderId="4" xfId="1" applyBorder="1" applyAlignment="1">
      <alignment vertical="center"/>
    </xf>
    <xf numFmtId="168" fontId="1" fillId="0" borderId="20" xfId="1" applyNumberFormat="1" applyBorder="1" applyAlignment="1">
      <alignment horizontal="center" vertical="center"/>
    </xf>
    <xf numFmtId="0" fontId="19" fillId="0" borderId="0" xfId="1" applyFont="1" applyAlignment="1">
      <alignment horizontal="left" vertical="top" wrapText="1"/>
    </xf>
    <xf numFmtId="0" fontId="5" fillId="0" borderId="0" xfId="1" applyFont="1"/>
    <xf numFmtId="0" fontId="1" fillId="0" borderId="0" xfId="1" applyAlignment="1">
      <alignment horizontal="center"/>
    </xf>
    <xf numFmtId="167" fontId="1" fillId="0" borderId="0" xfId="3" applyNumberFormat="1" applyFont="1" applyBorder="1" applyAlignment="1" applyProtection="1">
      <alignment horizontal="center"/>
    </xf>
    <xf numFmtId="168" fontId="1" fillId="0" borderId="0" xfId="1" applyNumberFormat="1" applyAlignment="1">
      <alignment horizontal="right"/>
    </xf>
    <xf numFmtId="0" fontId="1" fillId="0" borderId="0" xfId="1" applyAlignment="1">
      <alignment horizontal="left" indent="1"/>
    </xf>
    <xf numFmtId="0" fontId="1" fillId="0" borderId="0" xfId="1" applyAlignment="1">
      <alignment horizontal="left" vertical="top" wrapText="1" indent="1"/>
    </xf>
    <xf numFmtId="0" fontId="19" fillId="0" borderId="0" xfId="1" applyFont="1" applyAlignment="1">
      <alignment vertical="top"/>
    </xf>
    <xf numFmtId="169" fontId="1" fillId="0" borderId="0" xfId="1" applyNumberFormat="1" applyAlignment="1">
      <alignment horizontal="right"/>
    </xf>
    <xf numFmtId="0" fontId="1" fillId="0" borderId="0" xfId="1" quotePrefix="1" applyAlignment="1">
      <alignment horizontal="center"/>
    </xf>
    <xf numFmtId="0" fontId="1" fillId="0" borderId="0" xfId="1" applyAlignment="1">
      <alignment vertical="top"/>
    </xf>
    <xf numFmtId="0" fontId="1" fillId="0" borderId="0" xfId="1" applyAlignment="1">
      <alignment vertical="top" wrapText="1"/>
    </xf>
    <xf numFmtId="169" fontId="1" fillId="0" borderId="0" xfId="1" applyNumberFormat="1"/>
    <xf numFmtId="169" fontId="1" fillId="0" borderId="0" xfId="1" applyNumberFormat="1" applyAlignment="1">
      <alignment horizontal="center" vertical="center"/>
    </xf>
    <xf numFmtId="0" fontId="1" fillId="0" borderId="0" xfId="1" applyAlignment="1">
      <alignment horizontal="center" vertical="center"/>
    </xf>
    <xf numFmtId="0" fontId="1" fillId="0" borderId="0" xfId="1" applyAlignment="1">
      <alignment horizontal="left" indent="2"/>
    </xf>
    <xf numFmtId="0" fontId="15" fillId="3" borderId="4" xfId="1" applyFont="1" applyFill="1" applyBorder="1" applyAlignment="1">
      <alignment horizontal="center"/>
    </xf>
    <xf numFmtId="0" fontId="1" fillId="0" borderId="4" xfId="1" applyBorder="1"/>
    <xf numFmtId="0" fontId="1" fillId="2" borderId="4" xfId="1" applyFill="1" applyBorder="1" applyAlignment="1">
      <alignment horizontal="center"/>
    </xf>
    <xf numFmtId="0" fontId="1" fillId="0" borderId="0" xfId="1" applyAlignment="1">
      <alignment horizontal="left"/>
    </xf>
    <xf numFmtId="0" fontId="4" fillId="0" borderId="0" xfId="1" applyFont="1" applyAlignment="1">
      <alignment vertical="top"/>
    </xf>
    <xf numFmtId="0" fontId="20" fillId="0" borderId="0" xfId="0" applyFont="1"/>
    <xf numFmtId="1" fontId="20" fillId="0" borderId="0" xfId="0" applyNumberFormat="1" applyFont="1"/>
    <xf numFmtId="0" fontId="4" fillId="0" borderId="0" xfId="1" applyFont="1"/>
    <xf numFmtId="49" fontId="4" fillId="0" borderId="4" xfId="1" applyNumberFormat="1" applyFont="1" applyBorder="1" applyAlignment="1">
      <alignment horizontal="center"/>
    </xf>
    <xf numFmtId="0" fontId="1" fillId="0" borderId="0" xfId="1" applyAlignment="1">
      <alignment horizontal="left" vertical="center"/>
    </xf>
    <xf numFmtId="0" fontId="18" fillId="0" borderId="0" xfId="1" applyFont="1" applyAlignment="1">
      <alignment wrapText="1"/>
    </xf>
    <xf numFmtId="0" fontId="1" fillId="0" borderId="0" xfId="1" applyAlignment="1">
      <alignment horizontal="right" vertical="top"/>
    </xf>
    <xf numFmtId="0" fontId="5" fillId="0" borderId="4" xfId="1" applyFont="1" applyBorder="1" applyAlignment="1">
      <alignment vertical="top"/>
    </xf>
    <xf numFmtId="0" fontId="1" fillId="0" borderId="4" xfId="1" applyBorder="1" applyAlignment="1">
      <alignment horizontal="right"/>
    </xf>
    <xf numFmtId="0" fontId="21" fillId="0" borderId="0" xfId="1" applyFont="1"/>
    <xf numFmtId="0" fontId="14" fillId="0" borderId="0" xfId="1" applyFont="1" applyAlignment="1">
      <alignment wrapText="1"/>
    </xf>
    <xf numFmtId="0" fontId="25" fillId="0" borderId="4" xfId="1" applyFont="1" applyBorder="1" applyAlignment="1">
      <alignment horizontal="center" vertical="center" wrapText="1"/>
    </xf>
    <xf numFmtId="0" fontId="14" fillId="0" borderId="4" xfId="1" applyFont="1" applyBorder="1" applyAlignment="1">
      <alignment horizontal="center" vertical="center" wrapText="1"/>
    </xf>
    <xf numFmtId="0" fontId="1" fillId="0" borderId="0" xfId="1" applyAlignment="1">
      <alignment horizontal="center" vertical="top" wrapText="1"/>
    </xf>
    <xf numFmtId="0" fontId="14" fillId="0" borderId="4" xfId="1" applyFont="1" applyBorder="1" applyAlignment="1">
      <alignment horizontal="center" vertical="top" wrapText="1"/>
    </xf>
    <xf numFmtId="0" fontId="14" fillId="0" borderId="7" xfId="1" applyFont="1" applyBorder="1" applyAlignment="1">
      <alignment horizontal="center" vertical="top" wrapText="1"/>
    </xf>
    <xf numFmtId="0" fontId="14" fillId="0" borderId="6" xfId="1" applyFont="1" applyBorder="1" applyAlignment="1">
      <alignment horizontal="center" vertical="top" wrapText="1"/>
    </xf>
    <xf numFmtId="0" fontId="14" fillId="0" borderId="5" xfId="1" applyFont="1" applyBorder="1" applyAlignment="1">
      <alignment horizontal="center" vertical="top" wrapText="1"/>
    </xf>
    <xf numFmtId="0" fontId="4" fillId="0" borderId="0" xfId="1" applyFont="1" applyAlignment="1">
      <alignment vertical="top" wrapText="1"/>
    </xf>
    <xf numFmtId="0" fontId="4" fillId="0" borderId="4" xfId="1" applyFont="1" applyBorder="1" applyAlignment="1">
      <alignment vertical="center"/>
    </xf>
    <xf numFmtId="49" fontId="1" fillId="0" borderId="4" xfId="1" applyNumberFormat="1" applyBorder="1" applyAlignment="1">
      <alignment horizontal="left" vertical="center" indent="2"/>
    </xf>
    <xf numFmtId="0" fontId="1" fillId="3" borderId="4" xfId="1" applyFill="1" applyBorder="1" applyAlignment="1">
      <alignment horizontal="center"/>
    </xf>
    <xf numFmtId="0" fontId="1" fillId="0" borderId="0" xfId="1" applyAlignment="1">
      <alignment horizontal="right"/>
    </xf>
    <xf numFmtId="0" fontId="15" fillId="0" borderId="0" xfId="1" applyFont="1" applyAlignment="1">
      <alignment horizontal="left" vertical="center" wrapText="1"/>
    </xf>
    <xf numFmtId="0" fontId="26" fillId="0" borderId="0" xfId="1" applyFont="1" applyAlignment="1">
      <alignment vertical="center" wrapText="1"/>
    </xf>
    <xf numFmtId="0" fontId="15" fillId="0" borderId="0" xfId="1" applyFont="1" applyAlignment="1">
      <alignment horizontal="left" vertical="top" wrapText="1"/>
    </xf>
    <xf numFmtId="0" fontId="3" fillId="0" borderId="0" xfId="1" applyFont="1" applyAlignment="1">
      <alignment horizontal="left" vertical="center" wrapText="1"/>
    </xf>
    <xf numFmtId="37" fontId="1" fillId="0" borderId="0" xfId="1" applyNumberFormat="1"/>
    <xf numFmtId="0" fontId="19" fillId="0" borderId="0" xfId="1" applyFont="1"/>
    <xf numFmtId="37" fontId="4" fillId="0" borderId="4" xfId="1" applyNumberFormat="1" applyFont="1" applyBorder="1" applyAlignment="1">
      <alignment horizontal="right"/>
    </xf>
    <xf numFmtId="0" fontId="14" fillId="3" borderId="4" xfId="1" applyFont="1" applyFill="1" applyBorder="1" applyAlignment="1">
      <alignment horizontal="center" vertical="center" wrapText="1"/>
    </xf>
    <xf numFmtId="0" fontId="4" fillId="0" borderId="0" xfId="1" applyFont="1" applyAlignment="1">
      <alignment horizontal="left"/>
    </xf>
    <xf numFmtId="37" fontId="4" fillId="0" borderId="0" xfId="4" applyNumberFormat="1" applyFont="1" applyBorder="1" applyAlignment="1" applyProtection="1">
      <alignment horizontal="right"/>
    </xf>
    <xf numFmtId="37" fontId="4" fillId="0" borderId="6" xfId="1" applyNumberFormat="1" applyFont="1" applyBorder="1"/>
    <xf numFmtId="37" fontId="1" fillId="0" borderId="0" xfId="1" applyNumberFormat="1" applyAlignment="1">
      <alignment horizontal="right"/>
    </xf>
    <xf numFmtId="0" fontId="1" fillId="0" borderId="6" xfId="1" applyBorder="1"/>
    <xf numFmtId="37" fontId="1" fillId="0" borderId="0" xfId="4" applyNumberFormat="1" applyBorder="1" applyAlignment="1" applyProtection="1">
      <alignment horizontal="right"/>
    </xf>
    <xf numFmtId="37" fontId="1" fillId="0" borderId="1" xfId="1" applyNumberFormat="1" applyBorder="1"/>
    <xf numFmtId="0" fontId="4" fillId="0" borderId="0" xfId="1" applyFont="1" applyAlignment="1">
      <alignment horizontal="right"/>
    </xf>
    <xf numFmtId="0" fontId="4" fillId="0" borderId="8" xfId="1" applyFont="1" applyBorder="1" applyAlignment="1">
      <alignment horizontal="right"/>
    </xf>
    <xf numFmtId="0" fontId="21" fillId="0" borderId="0" xfId="1" applyFont="1" applyAlignment="1">
      <alignment vertical="center"/>
    </xf>
    <xf numFmtId="0" fontId="22" fillId="0" borderId="4" xfId="1" applyFont="1" applyBorder="1" applyAlignment="1">
      <alignment vertical="center"/>
    </xf>
    <xf numFmtId="0" fontId="4" fillId="0" borderId="4" xfId="1" applyFont="1" applyBorder="1" applyAlignment="1">
      <alignment horizontal="right"/>
    </xf>
    <xf numFmtId="0" fontId="1" fillId="0" borderId="4" xfId="1" applyBorder="1" applyAlignment="1">
      <alignment horizontal="left" vertical="center" wrapText="1" indent="1"/>
    </xf>
    <xf numFmtId="0" fontId="1" fillId="0" borderId="4" xfId="1" applyBorder="1" applyAlignment="1">
      <alignment horizontal="left" vertical="center" indent="1"/>
    </xf>
    <xf numFmtId="0" fontId="21" fillId="3" borderId="7" xfId="1" applyFont="1" applyFill="1" applyBorder="1" applyAlignment="1">
      <alignment horizontal="right"/>
    </xf>
    <xf numFmtId="0" fontId="21" fillId="3" borderId="6" xfId="1" applyFont="1" applyFill="1" applyBorder="1" applyAlignment="1">
      <alignment horizontal="right"/>
    </xf>
    <xf numFmtId="0" fontId="4" fillId="3" borderId="5" xfId="1" applyFont="1" applyFill="1" applyBorder="1" applyAlignment="1">
      <alignment vertical="center"/>
    </xf>
    <xf numFmtId="37" fontId="4" fillId="0" borderId="4" xfId="4" applyNumberFormat="1" applyFont="1" applyBorder="1" applyAlignment="1" applyProtection="1">
      <alignment horizontal="right"/>
    </xf>
    <xf numFmtId="0" fontId="4" fillId="3" borderId="7" xfId="1" applyFont="1" applyFill="1" applyBorder="1" applyAlignment="1">
      <alignment horizontal="center" vertical="center"/>
    </xf>
    <xf numFmtId="0" fontId="4" fillId="3" borderId="6" xfId="1" applyFont="1" applyFill="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0" fillId="0" borderId="0" xfId="0" applyAlignment="1">
      <alignment vertical="center"/>
    </xf>
    <xf numFmtId="170" fontId="1" fillId="0" borderId="4" xfId="1" applyNumberFormat="1" applyBorder="1" applyAlignment="1">
      <alignment horizontal="center" vertical="center" wrapText="1"/>
    </xf>
    <xf numFmtId="0" fontId="5" fillId="0" borderId="4" xfId="1" applyFont="1" applyBorder="1" applyAlignment="1">
      <alignment horizontal="left" vertical="top" wrapText="1"/>
    </xf>
    <xf numFmtId="0" fontId="5" fillId="0" borderId="4" xfId="1" applyFont="1" applyBorder="1" applyAlignment="1">
      <alignment horizontal="left" vertical="top" wrapText="1" indent="2"/>
    </xf>
    <xf numFmtId="168" fontId="1" fillId="2" borderId="4" xfId="1" applyNumberFormat="1" applyFill="1" applyBorder="1" applyAlignment="1">
      <alignment horizontal="right"/>
    </xf>
    <xf numFmtId="0" fontId="1" fillId="0" borderId="4" xfId="1" applyBorder="1" applyAlignment="1">
      <alignment wrapText="1"/>
    </xf>
    <xf numFmtId="49" fontId="1" fillId="0" borderId="4" xfId="1" applyNumberFormat="1" applyBorder="1" applyAlignment="1">
      <alignment horizontal="center" vertical="center"/>
    </xf>
    <xf numFmtId="0" fontId="1" fillId="0" borderId="1" xfId="1" applyBorder="1" applyAlignment="1">
      <alignment horizontal="center" vertical="center"/>
    </xf>
    <xf numFmtId="0" fontId="1" fillId="0" borderId="0" xfId="1" applyAlignment="1">
      <alignment horizontal="left" vertical="top" wrapText="1" indent="3"/>
    </xf>
    <xf numFmtId="0" fontId="1" fillId="0" borderId="4" xfId="1" applyBorder="1" applyAlignment="1">
      <alignment horizontal="left" vertical="top" wrapText="1" indent="1"/>
    </xf>
    <xf numFmtId="168" fontId="1" fillId="3" borderId="7" xfId="3" applyNumberFormat="1" applyFont="1" applyFill="1" applyBorder="1" applyAlignment="1" applyProtection="1">
      <alignment horizontal="right"/>
    </xf>
    <xf numFmtId="168" fontId="1" fillId="3" borderId="6" xfId="3" applyNumberFormat="1" applyFont="1" applyFill="1" applyBorder="1" applyAlignment="1" applyProtection="1">
      <alignment horizontal="right"/>
    </xf>
    <xf numFmtId="0" fontId="4" fillId="3" borderId="5" xfId="1" applyFont="1" applyFill="1" applyBorder="1" applyAlignment="1">
      <alignment horizontal="left" vertical="top" wrapText="1"/>
    </xf>
    <xf numFmtId="0" fontId="5" fillId="0" borderId="4" xfId="1" applyFont="1" applyBorder="1" applyAlignment="1">
      <alignment horizontal="left" vertical="top" wrapText="1" indent="1"/>
    </xf>
    <xf numFmtId="168" fontId="1" fillId="3" borderId="4" xfId="3" applyNumberFormat="1" applyFont="1" applyFill="1" applyBorder="1" applyAlignment="1" applyProtection="1">
      <alignment horizontal="right"/>
    </xf>
    <xf numFmtId="0" fontId="6" fillId="3" borderId="4" xfId="1" applyFont="1" applyFill="1" applyBorder="1" applyAlignment="1">
      <alignment horizontal="left" vertical="top" wrapText="1"/>
    </xf>
    <xf numFmtId="0" fontId="4" fillId="0" borderId="4" xfId="1" applyFont="1" applyBorder="1" applyAlignment="1">
      <alignment horizontal="center"/>
    </xf>
    <xf numFmtId="0" fontId="2" fillId="0" borderId="0" xfId="1" applyFont="1" applyAlignment="1">
      <alignment horizontal="center" vertical="center"/>
    </xf>
    <xf numFmtId="0" fontId="19" fillId="0" borderId="0" xfId="1" applyFont="1" applyAlignment="1">
      <alignment horizontal="left" vertical="top"/>
    </xf>
    <xf numFmtId="14" fontId="1" fillId="0" borderId="4" xfId="1" applyNumberFormat="1" applyBorder="1" applyAlignment="1">
      <alignment horizontal="center" vertical="center"/>
    </xf>
    <xf numFmtId="0" fontId="35" fillId="3" borderId="4" xfId="1" applyFont="1" applyFill="1" applyBorder="1" applyAlignment="1">
      <alignment horizontal="center" vertical="center" wrapText="1"/>
    </xf>
    <xf numFmtId="0" fontId="1" fillId="0" borderId="0" xfId="1" applyAlignment="1">
      <alignment horizontal="center" vertical="center" wrapText="1"/>
    </xf>
    <xf numFmtId="0" fontId="1" fillId="0" borderId="0" xfId="1" applyAlignment="1">
      <alignment vertical="center" wrapText="1"/>
    </xf>
    <xf numFmtId="49" fontId="37" fillId="0" borderId="0" xfId="1" applyNumberFormat="1" applyFont="1" applyAlignment="1">
      <alignment horizontal="center" vertical="center"/>
    </xf>
    <xf numFmtId="37" fontId="1" fillId="0" borderId="0" xfId="4" applyNumberFormat="1" applyFont="1" applyBorder="1" applyAlignment="1" applyProtection="1">
      <alignment vertical="center"/>
    </xf>
    <xf numFmtId="37" fontId="4" fillId="0" borderId="4" xfId="4" applyNumberFormat="1" applyFont="1" applyBorder="1" applyAlignment="1" applyProtection="1">
      <alignment horizontal="center" vertical="center"/>
    </xf>
    <xf numFmtId="0" fontId="4" fillId="0" borderId="0" xfId="1" applyFont="1" applyAlignment="1">
      <alignment horizontal="center" vertical="center"/>
    </xf>
    <xf numFmtId="0" fontId="4" fillId="3" borderId="4" xfId="1" applyFont="1" applyFill="1" applyBorder="1" applyAlignment="1">
      <alignment vertical="center"/>
    </xf>
    <xf numFmtId="0" fontId="38" fillId="0" borderId="0" xfId="1" applyFont="1"/>
    <xf numFmtId="0" fontId="38" fillId="0" borderId="0" xfId="1" applyFont="1" applyAlignment="1">
      <alignment horizontal="left" vertical="top"/>
    </xf>
    <xf numFmtId="49" fontId="38" fillId="0" borderId="0" xfId="1" applyNumberFormat="1" applyFont="1" applyAlignment="1">
      <alignment horizontal="center" vertical="center"/>
    </xf>
    <xf numFmtId="0" fontId="1" fillId="0" borderId="0" xfId="1" applyAlignment="1">
      <alignment horizontal="left" wrapText="1" indent="1"/>
    </xf>
    <xf numFmtId="0" fontId="7" fillId="0" borderId="0" xfId="1" applyFont="1"/>
    <xf numFmtId="0" fontId="5" fillId="0" borderId="0" xfId="5" applyFont="1" applyBorder="1" applyAlignment="1" applyProtection="1">
      <alignment vertical="top" wrapText="1"/>
    </xf>
    <xf numFmtId="0" fontId="5" fillId="0" borderId="0" xfId="1" applyFont="1" applyAlignment="1">
      <alignment vertical="top" wrapText="1"/>
    </xf>
    <xf numFmtId="0" fontId="1" fillId="0" borderId="1" xfId="1" applyBorder="1" applyAlignment="1">
      <alignment vertical="top" wrapText="1"/>
    </xf>
    <xf numFmtId="0" fontId="30" fillId="0" borderId="0" xfId="5" applyBorder="1" applyAlignment="1" applyProtection="1">
      <alignment horizontal="left" vertical="top" wrapText="1"/>
    </xf>
    <xf numFmtId="49" fontId="1" fillId="0" borderId="0" xfId="1" applyNumberFormat="1" applyAlignment="1">
      <alignment horizontal="left" vertical="center" indent="1"/>
    </xf>
    <xf numFmtId="0" fontId="5" fillId="0" borderId="4" xfId="1" applyFont="1" applyBorder="1"/>
    <xf numFmtId="0" fontId="40" fillId="3" borderId="4" xfId="1" applyFont="1" applyFill="1" applyBorder="1" applyAlignment="1">
      <alignment horizontal="center" vertical="center" wrapText="1"/>
    </xf>
    <xf numFmtId="0" fontId="5" fillId="0" borderId="0" xfId="1" applyFont="1" applyAlignment="1">
      <alignment horizontal="left" vertical="top"/>
    </xf>
    <xf numFmtId="9" fontId="6" fillId="3" borderId="4" xfId="1" applyNumberFormat="1" applyFont="1" applyFill="1" applyBorder="1" applyAlignment="1">
      <alignment horizontal="center" vertical="center" wrapText="1"/>
    </xf>
    <xf numFmtId="9" fontId="4" fillId="3" borderId="4" xfId="1" applyNumberFormat="1" applyFont="1" applyFill="1" applyBorder="1" applyAlignment="1">
      <alignment horizontal="center" vertical="center" wrapText="1"/>
    </xf>
    <xf numFmtId="0" fontId="0" fillId="0" borderId="0" xfId="0" applyProtection="1">
      <protection locked="0"/>
    </xf>
    <xf numFmtId="0" fontId="43" fillId="0" borderId="4" xfId="0" applyFont="1" applyBorder="1" applyAlignment="1" applyProtection="1">
      <alignment horizontal="center" vertical="center" wrapText="1"/>
      <protection locked="0"/>
    </xf>
    <xf numFmtId="0" fontId="43" fillId="0" borderId="4" xfId="0" applyFont="1" applyBorder="1" applyAlignment="1" applyProtection="1">
      <alignment horizontal="center" vertical="center"/>
      <protection locked="0"/>
    </xf>
    <xf numFmtId="0" fontId="2" fillId="2" borderId="0" xfId="1" applyFont="1" applyFill="1" applyAlignment="1">
      <alignment horizontal="center" vertical="center"/>
    </xf>
    <xf numFmtId="0" fontId="4" fillId="0" borderId="0" xfId="1" applyFont="1" applyAlignment="1">
      <alignment horizontal="center" vertical="center" wrapText="1"/>
    </xf>
    <xf numFmtId="0" fontId="1" fillId="3" borderId="4" xfId="1" applyFill="1" applyBorder="1" applyAlignment="1">
      <alignment vertical="center"/>
    </xf>
    <xf numFmtId="0" fontId="4" fillId="0" borderId="0" xfId="1" applyFont="1" applyAlignment="1">
      <alignment horizontal="left" vertical="top" wrapText="1" indent="1"/>
    </xf>
    <xf numFmtId="0" fontId="1" fillId="0" borderId="0" xfId="1" applyAlignment="1" applyProtection="1">
      <alignment horizontal="center" vertical="center" wrapText="1"/>
      <protection locked="0"/>
    </xf>
    <xf numFmtId="0" fontId="38" fillId="0" borderId="0" xfId="1" applyFont="1" applyAlignment="1">
      <alignment horizontal="center"/>
    </xf>
    <xf numFmtId="0" fontId="46" fillId="0" borderId="0" xfId="1" applyFont="1" applyProtection="1">
      <protection hidden="1"/>
    </xf>
    <xf numFmtId="49" fontId="38" fillId="0" borderId="0" xfId="1" applyNumberFormat="1" applyFont="1" applyAlignment="1">
      <alignment horizontal="center"/>
    </xf>
    <xf numFmtId="0" fontId="1" fillId="0" borderId="4" xfId="1" applyBorder="1" applyAlignment="1" applyProtection="1">
      <alignment horizontal="center" vertical="center"/>
      <protection locked="0"/>
    </xf>
    <xf numFmtId="0" fontId="4" fillId="0" borderId="1" xfId="1" applyFont="1" applyBorder="1" applyAlignment="1">
      <alignment horizontal="center" vertical="center"/>
    </xf>
    <xf numFmtId="0" fontId="5" fillId="0" borderId="0" xfId="1" applyFont="1" applyAlignment="1">
      <alignment horizontal="left"/>
    </xf>
    <xf numFmtId="0" fontId="48" fillId="0" borderId="0" xfId="1" applyFont="1" applyAlignment="1">
      <alignment horizontal="left" vertical="center" indent="1"/>
    </xf>
    <xf numFmtId="0" fontId="1" fillId="0" borderId="0" xfId="1" applyAlignment="1">
      <alignment vertical="center"/>
    </xf>
    <xf numFmtId="49" fontId="49" fillId="0" borderId="0" xfId="1" applyNumberFormat="1" applyFont="1" applyAlignment="1">
      <alignment horizontal="center" vertical="center"/>
    </xf>
    <xf numFmtId="168" fontId="1" fillId="0" borderId="0" xfId="1" applyNumberFormat="1" applyAlignment="1">
      <alignment horizontal="center" vertical="center"/>
    </xf>
    <xf numFmtId="0" fontId="5" fillId="0" borderId="4" xfId="1" applyFont="1" applyBorder="1" applyAlignment="1">
      <alignment vertical="top" wrapText="1"/>
    </xf>
    <xf numFmtId="0" fontId="5" fillId="0" borderId="4" xfId="1" quotePrefix="1" applyFont="1" applyBorder="1" applyAlignment="1">
      <alignment horizontal="center" vertical="top" wrapText="1"/>
    </xf>
    <xf numFmtId="0" fontId="5" fillId="5" borderId="4" xfId="1" applyFont="1" applyFill="1" applyBorder="1" applyAlignment="1">
      <alignment vertical="top" wrapText="1"/>
    </xf>
    <xf numFmtId="0" fontId="5" fillId="0" borderId="4" xfId="1" applyFont="1" applyBorder="1" applyAlignment="1">
      <alignment horizontal="center" vertical="top" wrapText="1"/>
    </xf>
    <xf numFmtId="0" fontId="1" fillId="0" borderId="4" xfId="1" applyBorder="1" applyAlignment="1">
      <alignment vertical="top" wrapText="1"/>
    </xf>
    <xf numFmtId="10" fontId="4" fillId="3" borderId="4" xfId="2" applyNumberFormat="1" applyFont="1" applyFill="1" applyBorder="1" applyAlignment="1" applyProtection="1">
      <alignment horizontal="center" vertical="center"/>
    </xf>
    <xf numFmtId="0" fontId="49" fillId="0" borderId="0" xfId="1" applyFont="1"/>
    <xf numFmtId="0" fontId="14" fillId="0" borderId="0" xfId="1" applyFont="1" applyAlignment="1">
      <alignment horizontal="left" wrapText="1"/>
    </xf>
    <xf numFmtId="0" fontId="52" fillId="0" borderId="0" xfId="0" applyFont="1" applyProtection="1">
      <protection locked="0"/>
    </xf>
    <xf numFmtId="0" fontId="41" fillId="0" borderId="4" xfId="0" applyFont="1" applyBorder="1" applyAlignment="1" applyProtection="1">
      <alignment horizontal="center" vertical="center"/>
      <protection locked="0"/>
    </xf>
    <xf numFmtId="0" fontId="4" fillId="0" borderId="0" xfId="1" applyFont="1" applyAlignment="1">
      <alignment horizontal="center" vertical="top" wrapText="1"/>
    </xf>
    <xf numFmtId="0" fontId="53" fillId="0" borderId="0" xfId="1" applyFont="1"/>
    <xf numFmtId="0" fontId="1" fillId="0" borderId="1" xfId="1" applyBorder="1" applyAlignment="1">
      <alignment horizontal="center" vertical="center" wrapText="1"/>
    </xf>
    <xf numFmtId="49" fontId="54" fillId="0" borderId="0" xfId="1" applyNumberFormat="1" applyFont="1" applyAlignment="1">
      <alignment horizontal="center" vertical="center"/>
    </xf>
    <xf numFmtId="0" fontId="28" fillId="0" borderId="0" xfId="1" applyFont="1" applyAlignment="1">
      <alignment horizontal="center" vertical="center" wrapText="1"/>
    </xf>
    <xf numFmtId="0" fontId="1" fillId="0" borderId="0" xfId="5" applyFont="1" applyAlignment="1" applyProtection="1">
      <alignment vertical="top" wrapText="1"/>
    </xf>
    <xf numFmtId="49" fontId="1" fillId="0" borderId="5" xfId="1" applyNumberFormat="1" applyBorder="1" applyAlignment="1">
      <alignment horizontal="center" vertical="center"/>
    </xf>
    <xf numFmtId="0" fontId="4" fillId="3" borderId="22" xfId="1" applyFont="1" applyFill="1" applyBorder="1"/>
    <xf numFmtId="0" fontId="35" fillId="3" borderId="22" xfId="1" applyFont="1" applyFill="1" applyBorder="1" applyAlignment="1">
      <alignment horizontal="center" vertical="center" wrapText="1"/>
    </xf>
    <xf numFmtId="0" fontId="36" fillId="3" borderId="22" xfId="1" applyFont="1" applyFill="1" applyBorder="1" applyAlignment="1">
      <alignment horizontal="center" vertical="center" wrapText="1"/>
    </xf>
    <xf numFmtId="0" fontId="1" fillId="0" borderId="22" xfId="1" applyBorder="1" applyAlignment="1">
      <alignment horizontal="left" vertical="center" wrapText="1"/>
    </xf>
    <xf numFmtId="0" fontId="1" fillId="0" borderId="22" xfId="1" applyBorder="1" applyAlignment="1">
      <alignment horizontal="center" vertical="center"/>
    </xf>
    <xf numFmtId="0" fontId="4" fillId="0" borderId="22" xfId="1" applyFont="1" applyBorder="1" applyAlignment="1">
      <alignment horizontal="center" vertical="center"/>
    </xf>
    <xf numFmtId="0" fontId="54" fillId="0" borderId="0" xfId="1" applyFont="1"/>
    <xf numFmtId="0" fontId="1" fillId="0" borderId="0" xfId="1" applyAlignment="1">
      <alignment horizontal="left" vertical="top" wrapText="1" indent="4"/>
    </xf>
    <xf numFmtId="0" fontId="55" fillId="0" borderId="0" xfId="1" applyFont="1" applyAlignment="1">
      <alignment horizontal="left" vertical="top"/>
    </xf>
    <xf numFmtId="0" fontId="55" fillId="0" borderId="0" xfId="1" applyFont="1"/>
    <xf numFmtId="0" fontId="4" fillId="0" borderId="8" xfId="1" applyFont="1" applyBorder="1" applyAlignment="1">
      <alignment horizontal="center" vertical="center"/>
    </xf>
    <xf numFmtId="37" fontId="4" fillId="0" borderId="0" xfId="1" applyNumberFormat="1" applyFont="1" applyAlignment="1">
      <alignment horizontal="right"/>
    </xf>
    <xf numFmtId="0" fontId="22" fillId="0" borderId="0" xfId="1" applyFont="1" applyAlignment="1">
      <alignment horizontal="center" vertical="center" wrapText="1"/>
    </xf>
    <xf numFmtId="0" fontId="15" fillId="0" borderId="0" xfId="1" applyFont="1" applyAlignment="1">
      <alignment horizontal="center" vertical="center" wrapText="1"/>
    </xf>
    <xf numFmtId="0" fontId="4" fillId="3" borderId="0" xfId="1" applyFont="1" applyFill="1" applyAlignment="1">
      <alignment horizontal="center"/>
    </xf>
    <xf numFmtId="10" fontId="1" fillId="0" borderId="0" xfId="1" applyNumberFormat="1" applyAlignment="1">
      <alignment horizontal="center" vertical="center"/>
    </xf>
    <xf numFmtId="0" fontId="4" fillId="0" borderId="7" xfId="1" applyFont="1" applyBorder="1" applyAlignment="1">
      <alignment horizontal="center" vertical="center"/>
    </xf>
    <xf numFmtId="0" fontId="14" fillId="0" borderId="0" xfId="1" applyFont="1" applyAlignment="1">
      <alignment horizontal="center" vertical="center" wrapText="1"/>
    </xf>
    <xf numFmtId="9" fontId="37" fillId="0" borderId="0" xfId="2" applyFont="1" applyBorder="1" applyAlignment="1" applyProtection="1">
      <alignment horizontal="center"/>
    </xf>
    <xf numFmtId="9" fontId="37" fillId="0" borderId="0" xfId="2" applyFont="1" applyBorder="1" applyAlignment="1" applyProtection="1">
      <alignment horizontal="left"/>
    </xf>
    <xf numFmtId="9" fontId="37" fillId="0" borderId="20" xfId="2" applyFont="1" applyBorder="1" applyAlignment="1" applyProtection="1">
      <alignment horizontal="right"/>
    </xf>
    <xf numFmtId="49" fontId="1" fillId="7" borderId="5" xfId="1" applyNumberFormat="1" applyFill="1" applyBorder="1" applyAlignment="1">
      <alignment horizontal="center" vertical="center"/>
    </xf>
    <xf numFmtId="0" fontId="35" fillId="0" borderId="0" xfId="1" applyFont="1" applyAlignment="1">
      <alignment horizontal="center" vertical="center" wrapText="1"/>
    </xf>
    <xf numFmtId="1" fontId="0" fillId="0" borderId="6" xfId="0" applyNumberFormat="1" applyBorder="1" applyProtection="1">
      <protection locked="0"/>
    </xf>
    <xf numFmtId="0" fontId="1" fillId="0" borderId="4" xfId="1" applyBorder="1" applyAlignment="1" applyProtection="1">
      <alignment horizontal="left" vertical="top" wrapText="1"/>
      <protection locked="0"/>
    </xf>
    <xf numFmtId="0" fontId="30" fillId="0" borderId="4" xfId="5" applyBorder="1" applyAlignment="1" applyProtection="1">
      <alignment horizontal="left" vertical="top" wrapText="1"/>
      <protection locked="0"/>
    </xf>
    <xf numFmtId="0" fontId="1" fillId="0" borderId="4" xfId="1" applyBorder="1" applyAlignment="1" applyProtection="1">
      <alignment horizontal="center" vertical="center" wrapText="1"/>
      <protection locked="0"/>
    </xf>
    <xf numFmtId="0" fontId="5" fillId="0" borderId="4" xfId="1" applyFont="1" applyBorder="1" applyAlignment="1" applyProtection="1">
      <alignment horizontal="left" vertical="top" wrapText="1"/>
      <protection locked="0"/>
    </xf>
    <xf numFmtId="0" fontId="1" fillId="0" borderId="0" xfId="1" applyProtection="1">
      <protection locked="0"/>
    </xf>
    <xf numFmtId="49" fontId="1" fillId="0" borderId="0" xfId="1" quotePrefix="1" applyNumberFormat="1" applyAlignment="1" applyProtection="1">
      <alignment vertical="center"/>
      <protection locked="0"/>
    </xf>
    <xf numFmtId="0" fontId="1" fillId="0" borderId="1" xfId="1" applyBorder="1" applyAlignment="1" applyProtection="1">
      <alignment horizontal="center"/>
      <protection locked="0"/>
    </xf>
    <xf numFmtId="0" fontId="4" fillId="0" borderId="0" xfId="1" applyFont="1" applyAlignment="1" applyProtection="1">
      <alignment horizontal="left" vertical="top"/>
      <protection locked="0"/>
    </xf>
    <xf numFmtId="0" fontId="4" fillId="0" borderId="0" xfId="1" applyFont="1" applyProtection="1">
      <protection locked="0"/>
    </xf>
    <xf numFmtId="49" fontId="38" fillId="0" borderId="0" xfId="1" applyNumberFormat="1" applyFont="1" applyAlignment="1" applyProtection="1">
      <alignment horizontal="center" vertical="center"/>
      <protection locked="0"/>
    </xf>
    <xf numFmtId="14" fontId="54" fillId="0" borderId="0" xfId="1" quotePrefix="1" applyNumberFormat="1" applyFont="1"/>
    <xf numFmtId="49" fontId="54" fillId="0" borderId="0" xfId="1" quotePrefix="1" applyNumberFormat="1" applyFont="1" applyAlignment="1">
      <alignment horizontal="center" vertical="center"/>
    </xf>
    <xf numFmtId="49" fontId="54" fillId="0" borderId="0" xfId="1" quotePrefix="1" applyNumberFormat="1" applyFont="1" applyAlignment="1">
      <alignment vertical="center"/>
    </xf>
    <xf numFmtId="49" fontId="54" fillId="0" borderId="0" xfId="1" applyNumberFormat="1" applyFont="1" applyAlignment="1" applyProtection="1">
      <alignment horizontal="center" vertical="center"/>
      <protection locked="0"/>
    </xf>
    <xf numFmtId="49" fontId="54" fillId="0" borderId="0" xfId="1" quotePrefix="1" applyNumberFormat="1" applyFont="1" applyAlignment="1" applyProtection="1">
      <alignment horizontal="center" vertical="center"/>
      <protection locked="0"/>
    </xf>
    <xf numFmtId="0" fontId="1" fillId="0" borderId="0" xfId="1" applyAlignment="1" applyProtection="1">
      <alignment horizontal="left" vertical="top"/>
      <protection locked="0"/>
    </xf>
    <xf numFmtId="10" fontId="1" fillId="0" borderId="4" xfId="2" applyNumberFormat="1" applyFont="1" applyFill="1" applyBorder="1" applyAlignment="1" applyProtection="1">
      <alignment horizontal="center" vertical="center"/>
      <protection locked="0"/>
    </xf>
    <xf numFmtId="0" fontId="4" fillId="0" borderId="0" xfId="1" applyFont="1" applyAlignment="1">
      <alignment vertical="center"/>
    </xf>
    <xf numFmtId="10" fontId="4" fillId="0" borderId="0" xfId="2" applyNumberFormat="1" applyFont="1" applyFill="1" applyBorder="1" applyAlignment="1" applyProtection="1">
      <alignment horizontal="center" vertical="center"/>
    </xf>
    <xf numFmtId="0" fontId="4" fillId="0" borderId="0" xfId="1" applyFont="1" applyAlignment="1" applyProtection="1">
      <alignment vertical="center"/>
      <protection locked="0"/>
    </xf>
    <xf numFmtId="10" fontId="4" fillId="0" borderId="0" xfId="2" applyNumberFormat="1" applyFont="1" applyFill="1" applyBorder="1" applyAlignment="1" applyProtection="1">
      <alignment horizontal="center" vertical="center"/>
      <protection locked="0"/>
    </xf>
    <xf numFmtId="0" fontId="1" fillId="0" borderId="0" xfId="1" applyAlignment="1" applyProtection="1">
      <alignment vertical="center"/>
      <protection locked="0"/>
    </xf>
    <xf numFmtId="1" fontId="1" fillId="0" borderId="4" xfId="1" applyNumberFormat="1" applyBorder="1" applyAlignment="1" applyProtection="1">
      <alignment horizontal="center" vertical="center"/>
      <protection locked="0"/>
    </xf>
    <xf numFmtId="49" fontId="1" fillId="0" borderId="4" xfId="1" applyNumberFormat="1" applyBorder="1" applyAlignment="1" applyProtection="1">
      <alignment horizontal="center" vertical="center" wrapText="1"/>
      <protection locked="0"/>
    </xf>
    <xf numFmtId="49" fontId="49" fillId="0" borderId="0" xfId="1" applyNumberFormat="1" applyFont="1" applyAlignment="1" applyProtection="1">
      <alignment horizontal="center" vertical="center"/>
      <protection locked="0"/>
    </xf>
    <xf numFmtId="8" fontId="1" fillId="0" borderId="0" xfId="1" applyNumberFormat="1" applyProtection="1">
      <protection locked="0"/>
    </xf>
    <xf numFmtId="8" fontId="1" fillId="0" borderId="4" xfId="1" applyNumberFormat="1" applyBorder="1" applyAlignment="1" applyProtection="1">
      <alignment horizontal="right"/>
      <protection locked="0"/>
    </xf>
    <xf numFmtId="164" fontId="1" fillId="0" borderId="4" xfId="1" applyNumberFormat="1" applyBorder="1" applyAlignment="1" applyProtection="1">
      <alignment horizontal="right"/>
      <protection locked="0"/>
    </xf>
    <xf numFmtId="164" fontId="1" fillId="0" borderId="7" xfId="1" applyNumberFormat="1" applyBorder="1" applyAlignment="1" applyProtection="1">
      <alignment horizontal="right"/>
      <protection locked="0"/>
    </xf>
    <xf numFmtId="0" fontId="14" fillId="0" borderId="4" xfId="1" applyFont="1" applyBorder="1" applyAlignment="1" applyProtection="1">
      <alignment horizontal="center" vertical="center"/>
      <protection locked="0"/>
    </xf>
    <xf numFmtId="165" fontId="14" fillId="0" borderId="4" xfId="2" applyNumberFormat="1" applyFont="1" applyBorder="1" applyAlignment="1" applyProtection="1">
      <alignment horizontal="center" vertical="center"/>
      <protection locked="0"/>
    </xf>
    <xf numFmtId="166" fontId="14" fillId="0" borderId="4" xfId="3" applyNumberFormat="1" applyFont="1" applyBorder="1" applyAlignment="1" applyProtection="1">
      <alignment horizontal="center" vertical="center"/>
      <protection locked="0"/>
    </xf>
    <xf numFmtId="167" fontId="14" fillId="0" borderId="4" xfId="3" applyNumberFormat="1" applyFont="1" applyBorder="1" applyAlignment="1" applyProtection="1">
      <alignment horizontal="center" vertical="center"/>
      <protection locked="0"/>
    </xf>
    <xf numFmtId="1" fontId="4" fillId="0" borderId="4" xfId="1" applyNumberFormat="1" applyFont="1" applyBorder="1" applyAlignment="1" applyProtection="1">
      <alignment horizontal="center" vertical="center" wrapText="1"/>
      <protection locked="0"/>
    </xf>
    <xf numFmtId="1" fontId="1" fillId="0" borderId="19" xfId="1" applyNumberFormat="1" applyBorder="1" applyAlignment="1" applyProtection="1">
      <alignment horizontal="center" vertical="center" wrapText="1"/>
      <protection locked="0"/>
    </xf>
    <xf numFmtId="168" fontId="1" fillId="0" borderId="19" xfId="1" applyNumberFormat="1" applyBorder="1" applyAlignment="1" applyProtection="1">
      <alignment horizontal="center" vertical="center" wrapText="1"/>
      <protection locked="0"/>
    </xf>
    <xf numFmtId="1" fontId="1" fillId="0" borderId="4" xfId="1" applyNumberFormat="1" applyBorder="1" applyAlignment="1" applyProtection="1">
      <alignment horizontal="center"/>
      <protection locked="0"/>
    </xf>
    <xf numFmtId="168" fontId="1" fillId="0" borderId="4" xfId="1" applyNumberFormat="1" applyBorder="1" applyAlignment="1" applyProtection="1">
      <alignment horizontal="center"/>
      <protection locked="0"/>
    </xf>
    <xf numFmtId="0" fontId="38" fillId="0" borderId="0" xfId="1" applyFont="1" applyAlignment="1" applyProtection="1">
      <alignment horizontal="center"/>
      <protection locked="0"/>
    </xf>
    <xf numFmtId="14" fontId="1" fillId="0" borderId="4" xfId="1" applyNumberFormat="1" applyBorder="1" applyAlignment="1" applyProtection="1">
      <alignment horizontal="center"/>
      <protection locked="0"/>
    </xf>
    <xf numFmtId="14" fontId="1" fillId="0" borderId="19" xfId="1" applyNumberFormat="1" applyBorder="1" applyAlignment="1" applyProtection="1">
      <alignment horizontal="center"/>
      <protection locked="0"/>
    </xf>
    <xf numFmtId="0" fontId="38" fillId="0" borderId="0" xfId="1" applyFont="1" applyAlignment="1" applyProtection="1">
      <alignment vertical="top" wrapText="1"/>
      <protection locked="0"/>
    </xf>
    <xf numFmtId="14" fontId="1" fillId="0" borderId="1" xfId="1" applyNumberFormat="1" applyBorder="1" applyAlignment="1" applyProtection="1">
      <alignment horizontal="left" indent="4"/>
      <protection locked="0"/>
    </xf>
    <xf numFmtId="169" fontId="1" fillId="0" borderId="4" xfId="1" applyNumberFormat="1" applyBorder="1" applyAlignment="1" applyProtection="1">
      <alignment horizontal="center" vertical="center"/>
      <protection locked="0"/>
    </xf>
    <xf numFmtId="14" fontId="1" fillId="0" borderId="1" xfId="1" applyNumberFormat="1" applyBorder="1" applyAlignment="1" applyProtection="1">
      <alignment horizontal="left" indent="1"/>
      <protection locked="0"/>
    </xf>
    <xf numFmtId="0" fontId="38" fillId="0" borderId="0" xfId="1" applyFont="1" applyProtection="1">
      <protection locked="0"/>
    </xf>
    <xf numFmtId="0" fontId="46" fillId="0" borderId="4" xfId="1" applyFont="1" applyBorder="1" applyAlignment="1" applyProtection="1">
      <alignment horizontal="center" vertical="center"/>
      <protection locked="0"/>
    </xf>
    <xf numFmtId="0" fontId="49" fillId="0" borderId="0" xfId="1" applyFont="1" applyProtection="1">
      <protection locked="0"/>
    </xf>
    <xf numFmtId="168" fontId="1" fillId="0" borderId="4" xfId="3" applyNumberFormat="1" applyFont="1" applyBorder="1" applyAlignment="1" applyProtection="1">
      <alignment horizontal="center" vertical="center"/>
      <protection locked="0"/>
    </xf>
    <xf numFmtId="170" fontId="1" fillId="0" borderId="1" xfId="1" applyNumberFormat="1" applyBorder="1" applyAlignment="1" applyProtection="1">
      <alignment horizontal="center"/>
      <protection locked="0"/>
    </xf>
    <xf numFmtId="49" fontId="1" fillId="0" borderId="4" xfId="1" applyNumberFormat="1" applyBorder="1" applyAlignment="1" applyProtection="1">
      <alignment horizontal="center" vertical="center"/>
      <protection locked="0"/>
    </xf>
    <xf numFmtId="10" fontId="1" fillId="0" borderId="6" xfId="1" applyNumberFormat="1" applyBorder="1" applyAlignment="1" applyProtection="1">
      <alignment horizontal="center"/>
      <protection locked="0"/>
    </xf>
    <xf numFmtId="168" fontId="1" fillId="0" borderId="4" xfId="1" applyNumberFormat="1" applyBorder="1" applyAlignment="1" applyProtection="1">
      <alignment horizontal="center" vertical="center"/>
      <protection locked="0"/>
    </xf>
    <xf numFmtId="170" fontId="1" fillId="0" borderId="4" xfId="1" applyNumberFormat="1" applyBorder="1" applyAlignment="1" applyProtection="1">
      <alignment horizontal="center" vertical="center" wrapText="1"/>
      <protection locked="0"/>
    </xf>
    <xf numFmtId="9" fontId="1" fillId="0" borderId="4" xfId="1" applyNumberFormat="1" applyBorder="1" applyAlignment="1" applyProtection="1">
      <alignment horizontal="center" vertical="center" wrapText="1"/>
      <protection locked="0"/>
    </xf>
    <xf numFmtId="9" fontId="1" fillId="0" borderId="4" xfId="2" applyFont="1" applyBorder="1" applyAlignment="1" applyProtection="1">
      <alignment horizontal="center" vertical="center"/>
      <protection locked="0"/>
    </xf>
    <xf numFmtId="9" fontId="1" fillId="0" borderId="4" xfId="1" applyNumberFormat="1" applyBorder="1" applyAlignment="1" applyProtection="1">
      <alignment horizontal="center" vertical="center"/>
      <protection locked="0"/>
    </xf>
    <xf numFmtId="0" fontId="38" fillId="0" borderId="0" xfId="1" applyFont="1" applyAlignment="1" applyProtection="1">
      <alignment horizontal="center" vertical="top" wrapText="1"/>
      <protection locked="0"/>
    </xf>
    <xf numFmtId="0" fontId="38" fillId="0" borderId="0" xfId="1" applyFont="1" applyAlignment="1" applyProtection="1">
      <alignment wrapText="1"/>
      <protection locked="0"/>
    </xf>
    <xf numFmtId="0" fontId="54" fillId="0" borderId="0" xfId="1" applyFont="1" applyAlignment="1" applyProtection="1">
      <alignment horizontal="center" vertical="center" wrapText="1"/>
      <protection locked="0"/>
    </xf>
    <xf numFmtId="0" fontId="54" fillId="0" borderId="0" xfId="1" applyFont="1" applyAlignment="1" applyProtection="1">
      <alignment horizontal="left" vertical="top" wrapText="1"/>
      <protection locked="0"/>
    </xf>
    <xf numFmtId="0" fontId="38" fillId="0" borderId="0" xfId="1" applyFont="1" applyAlignment="1" applyProtection="1">
      <alignment horizontal="center"/>
      <protection locked="0" hidden="1"/>
    </xf>
    <xf numFmtId="0" fontId="38" fillId="0" borderId="0" xfId="1" applyFont="1" applyAlignment="1" applyProtection="1">
      <alignment vertical="top" wrapText="1"/>
      <protection locked="0" hidden="1"/>
    </xf>
    <xf numFmtId="0" fontId="1" fillId="0" borderId="0" xfId="1" applyAlignment="1" applyProtection="1">
      <alignment horizontal="left" vertical="top" wrapText="1"/>
      <protection locked="0"/>
    </xf>
    <xf numFmtId="49" fontId="1" fillId="0" borderId="0" xfId="1" applyNumberFormat="1" applyAlignment="1" applyProtection="1">
      <alignment horizontal="center" vertical="center"/>
      <protection locked="0"/>
    </xf>
    <xf numFmtId="49" fontId="38" fillId="0" borderId="0" xfId="1" applyNumberFormat="1" applyFont="1" applyAlignment="1" applyProtection="1">
      <alignment horizontal="center"/>
      <protection locked="0"/>
    </xf>
    <xf numFmtId="0" fontId="19" fillId="0" borderId="0" xfId="1" applyFont="1" applyAlignment="1" applyProtection="1">
      <alignment vertical="top" wrapText="1"/>
      <protection locked="0"/>
    </xf>
    <xf numFmtId="37" fontId="1" fillId="0" borderId="4" xfId="4" applyNumberFormat="1" applyFont="1" applyBorder="1" applyAlignment="1" applyProtection="1">
      <alignment horizontal="center" vertical="center"/>
      <protection locked="0"/>
    </xf>
    <xf numFmtId="49" fontId="71" fillId="0" borderId="0" xfId="1" applyNumberFormat="1" applyFont="1" applyAlignment="1" applyProtection="1">
      <alignment horizontal="center" vertical="center"/>
      <protection locked="0"/>
    </xf>
    <xf numFmtId="0" fontId="54" fillId="0" borderId="0" xfId="1" applyFont="1" applyProtection="1">
      <protection locked="0"/>
    </xf>
    <xf numFmtId="14" fontId="1" fillId="0" borderId="4" xfId="1" applyNumberFormat="1" applyBorder="1" applyAlignment="1" applyProtection="1">
      <alignment horizontal="center" vertical="center"/>
      <protection locked="0"/>
    </xf>
    <xf numFmtId="0" fontId="53" fillId="0" borderId="0" xfId="1" applyFont="1" applyProtection="1">
      <protection locked="0"/>
    </xf>
    <xf numFmtId="2" fontId="1" fillId="0" borderId="4" xfId="1" applyNumberFormat="1" applyBorder="1" applyAlignment="1" applyProtection="1">
      <alignment horizontal="center" wrapText="1"/>
      <protection locked="0"/>
    </xf>
    <xf numFmtId="1" fontId="1" fillId="0" borderId="4" xfId="1" applyNumberFormat="1" applyBorder="1" applyAlignment="1" applyProtection="1">
      <alignment horizontal="center" vertical="center" wrapText="1"/>
      <protection locked="0"/>
    </xf>
    <xf numFmtId="0" fontId="1" fillId="0" borderId="0" xfId="1" applyAlignment="1" applyProtection="1">
      <alignment horizontal="left"/>
      <protection locked="0"/>
    </xf>
    <xf numFmtId="0" fontId="1" fillId="0" borderId="5" xfId="1" applyBorder="1" applyAlignment="1" applyProtection="1">
      <alignment horizontal="right"/>
      <protection locked="0"/>
    </xf>
    <xf numFmtId="37" fontId="1" fillId="0" borderId="4" xfId="4" applyNumberFormat="1" applyBorder="1" applyAlignment="1" applyProtection="1">
      <alignment horizontal="right"/>
      <protection locked="0"/>
    </xf>
    <xf numFmtId="0" fontId="1" fillId="0" borderId="4" xfId="1" applyBorder="1" applyAlignment="1" applyProtection="1">
      <alignment horizontal="right"/>
      <protection locked="0"/>
    </xf>
    <xf numFmtId="37" fontId="1" fillId="0" borderId="4" xfId="1" applyNumberFormat="1" applyBorder="1" applyAlignment="1" applyProtection="1">
      <alignment horizontal="right"/>
      <protection locked="0"/>
    </xf>
    <xf numFmtId="0" fontId="4" fillId="0" borderId="4" xfId="1" applyFont="1" applyBorder="1" applyAlignment="1" applyProtection="1">
      <alignment horizontal="center" vertical="center" wrapText="1"/>
      <protection locked="0"/>
    </xf>
    <xf numFmtId="0" fontId="1" fillId="0" borderId="4" xfId="1" applyBorder="1" applyAlignment="1">
      <alignment horizontal="center" vertical="center" wrapText="1"/>
    </xf>
    <xf numFmtId="9" fontId="1" fillId="0" borderId="4" xfId="1" applyNumberFormat="1" applyBorder="1" applyAlignment="1">
      <alignment horizontal="center" vertical="center" wrapText="1"/>
    </xf>
    <xf numFmtId="0" fontId="1" fillId="0" borderId="4" xfId="1" applyBorder="1" applyAlignment="1" applyProtection="1">
      <alignment horizontal="right" wrapText="1"/>
      <protection locked="0"/>
    </xf>
    <xf numFmtId="0" fontId="1" fillId="0" borderId="0" xfId="0" applyFont="1" applyAlignment="1">
      <alignment horizontal="center" vertical="center"/>
    </xf>
    <xf numFmtId="0" fontId="43" fillId="0" borderId="0" xfId="0" applyFont="1" applyAlignment="1">
      <alignment horizontal="left" vertical="top"/>
    </xf>
    <xf numFmtId="0" fontId="2" fillId="0" borderId="0" xfId="0" applyFont="1"/>
    <xf numFmtId="0" fontId="43" fillId="0" borderId="0" xfId="0" applyFont="1"/>
    <xf numFmtId="0" fontId="2" fillId="0" borderId="0" xfId="0" applyFont="1" applyAlignment="1">
      <alignment horizontal="left" vertical="top"/>
    </xf>
    <xf numFmtId="0" fontId="45" fillId="0" borderId="0" xfId="0" applyFont="1" applyAlignment="1">
      <alignment horizontal="right" vertical="top"/>
    </xf>
    <xf numFmtId="0" fontId="43" fillId="0" borderId="0" xfId="0" applyFont="1" applyAlignment="1">
      <alignment horizontal="left" vertical="center" wrapText="1"/>
    </xf>
    <xf numFmtId="0" fontId="43" fillId="0" borderId="0" xfId="0" applyFont="1" applyAlignment="1">
      <alignment horizontal="right" vertical="top"/>
    </xf>
    <xf numFmtId="0" fontId="43" fillId="0" borderId="4" xfId="0" applyFont="1" applyBorder="1" applyAlignment="1">
      <alignment horizontal="center" vertical="center" wrapText="1"/>
    </xf>
    <xf numFmtId="0" fontId="41" fillId="0" borderId="0" xfId="0" applyFont="1"/>
    <xf numFmtId="0" fontId="43" fillId="0" borderId="0" xfId="0" applyFont="1" applyAlignment="1">
      <alignment horizontal="center" wrapText="1"/>
    </xf>
    <xf numFmtId="0" fontId="43" fillId="0" borderId="4" xfId="0" applyFont="1" applyBorder="1" applyAlignment="1">
      <alignment vertical="center"/>
    </xf>
    <xf numFmtId="0" fontId="43" fillId="0" borderId="0" xfId="0" applyFont="1" applyAlignment="1">
      <alignment horizontal="center"/>
    </xf>
    <xf numFmtId="0" fontId="44" fillId="0" borderId="0" xfId="0" applyFont="1"/>
    <xf numFmtId="0" fontId="43" fillId="0" borderId="0" xfId="0" applyFont="1" applyAlignment="1">
      <alignment horizontal="center" vertical="center"/>
    </xf>
    <xf numFmtId="0" fontId="2" fillId="0" borderId="0" xfId="0" applyFont="1" applyAlignment="1">
      <alignment horizontal="center" vertical="center"/>
    </xf>
    <xf numFmtId="0" fontId="43" fillId="0" borderId="0" xfId="0" applyFont="1" applyAlignment="1">
      <alignment horizontal="left"/>
    </xf>
    <xf numFmtId="0" fontId="43" fillId="0" borderId="1" xfId="0" applyFont="1" applyBorder="1" applyAlignment="1">
      <alignment horizontal="left" indent="2"/>
    </xf>
    <xf numFmtId="0" fontId="43" fillId="0" borderId="1" xfId="0" applyFont="1" applyBorder="1"/>
    <xf numFmtId="0" fontId="2" fillId="3" borderId="4" xfId="0" applyFont="1" applyFill="1" applyBorder="1" applyAlignment="1">
      <alignment horizontal="center"/>
    </xf>
    <xf numFmtId="0" fontId="43" fillId="0" borderId="8" xfId="0" applyFont="1" applyBorder="1" applyAlignment="1">
      <alignment horizontal="center" vertical="center"/>
    </xf>
    <xf numFmtId="0" fontId="42" fillId="0" borderId="0" xfId="0" applyFont="1"/>
    <xf numFmtId="0" fontId="43" fillId="0" borderId="0" xfId="0" applyFont="1" applyAlignment="1">
      <alignment horizontal="left" vertical="center" wrapText="1" indent="1"/>
    </xf>
    <xf numFmtId="0" fontId="51" fillId="0" borderId="0" xfId="0" applyFont="1"/>
    <xf numFmtId="0" fontId="42" fillId="0" borderId="0" xfId="0" applyFont="1" applyAlignment="1">
      <alignment horizontal="left" vertical="center" wrapText="1" indent="1"/>
    </xf>
    <xf numFmtId="0" fontId="2" fillId="0" borderId="0" xfId="0" applyFont="1" applyAlignment="1">
      <alignment vertical="top" wrapText="1"/>
    </xf>
    <xf numFmtId="0" fontId="1" fillId="0" borderId="0" xfId="0" applyFont="1" applyAlignment="1">
      <alignment horizontal="left" vertical="top"/>
    </xf>
    <xf numFmtId="0" fontId="2" fillId="0" borderId="0" xfId="0" applyFont="1" applyAlignment="1">
      <alignment vertical="top"/>
    </xf>
    <xf numFmtId="0" fontId="1" fillId="0" borderId="0" xfId="0" applyFont="1"/>
    <xf numFmtId="0" fontId="4" fillId="0" borderId="0" xfId="0" applyFont="1" applyAlignment="1">
      <alignment horizontal="left" vertical="top"/>
    </xf>
    <xf numFmtId="0" fontId="37" fillId="0" borderId="0" xfId="0" applyFont="1" applyAlignment="1">
      <alignment vertical="top" wrapText="1"/>
    </xf>
    <xf numFmtId="0" fontId="19" fillId="0" borderId="0" xfId="0" applyFont="1" applyAlignment="1">
      <alignment vertical="top" wrapText="1"/>
    </xf>
    <xf numFmtId="0" fontId="9" fillId="0" borderId="0" xfId="0" applyFont="1" applyAlignment="1">
      <alignment horizontal="left" indent="1"/>
    </xf>
    <xf numFmtId="0" fontId="37" fillId="0" borderId="0" xfId="0" applyFont="1" applyAlignment="1">
      <alignment horizontal="left" indent="1"/>
    </xf>
    <xf numFmtId="0" fontId="19" fillId="0" borderId="0" xfId="0" applyFont="1" applyAlignment="1">
      <alignment horizontal="center" vertical="center" wrapText="1"/>
    </xf>
    <xf numFmtId="0" fontId="37" fillId="0" borderId="0" xfId="0" applyFont="1" applyAlignment="1">
      <alignment horizontal="center"/>
    </xf>
    <xf numFmtId="0" fontId="37" fillId="0" borderId="0" xfId="0" applyFont="1" applyAlignment="1">
      <alignment horizontal="left" wrapText="1" indent="1"/>
    </xf>
    <xf numFmtId="0" fontId="9" fillId="0" borderId="0" xfId="0" applyFont="1" applyAlignment="1">
      <alignment horizontal="left" vertical="top" wrapText="1" indent="2"/>
    </xf>
    <xf numFmtId="0" fontId="37" fillId="0" borderId="0" xfId="0" applyFont="1" applyAlignment="1">
      <alignment horizontal="left" vertical="top" wrapText="1" indent="1"/>
    </xf>
    <xf numFmtId="0" fontId="37" fillId="0" borderId="0" xfId="0" applyFont="1" applyAlignment="1">
      <alignment horizontal="center" vertical="center"/>
    </xf>
    <xf numFmtId="0" fontId="19" fillId="0" borderId="0" xfId="0" applyFont="1" applyAlignment="1">
      <alignment horizontal="left" vertical="center"/>
    </xf>
    <xf numFmtId="0" fontId="37" fillId="0" borderId="0" xfId="0" applyFont="1"/>
    <xf numFmtId="0" fontId="19" fillId="0" borderId="0" xfId="0" applyFont="1" applyAlignment="1">
      <alignment horizontal="left" vertical="top"/>
    </xf>
    <xf numFmtId="0" fontId="37" fillId="2" borderId="4" xfId="0" applyFont="1" applyFill="1" applyBorder="1" applyAlignment="1">
      <alignment vertical="center"/>
    </xf>
    <xf numFmtId="0" fontId="19" fillId="0" borderId="4" xfId="0" applyFont="1" applyBorder="1" applyAlignment="1">
      <alignment horizontal="center" vertical="center" wrapText="1"/>
    </xf>
    <xf numFmtId="0" fontId="59" fillId="4" borderId="4" xfId="0" applyFont="1" applyFill="1" applyBorder="1" applyAlignment="1">
      <alignment vertical="center"/>
    </xf>
    <xf numFmtId="0" fontId="9" fillId="0" borderId="4" xfId="0" applyFont="1" applyBorder="1" applyAlignment="1">
      <alignment horizontal="left" wrapText="1" indent="1"/>
    </xf>
    <xf numFmtId="0" fontId="37" fillId="0" borderId="4" xfId="0" applyFont="1" applyBorder="1" applyAlignment="1">
      <alignment horizontal="center" vertical="center"/>
    </xf>
    <xf numFmtId="0" fontId="37" fillId="0" borderId="4" xfId="0" applyFont="1" applyBorder="1" applyAlignment="1">
      <alignment horizontal="left" vertical="center" indent="1"/>
    </xf>
    <xf numFmtId="0" fontId="9" fillId="0" borderId="4" xfId="0" applyFont="1" applyBorder="1"/>
    <xf numFmtId="0" fontId="37" fillId="0" borderId="4" xfId="0" applyFont="1" applyBorder="1" applyAlignment="1">
      <alignment horizontal="left" vertical="center" wrapText="1" indent="1"/>
    </xf>
    <xf numFmtId="0" fontId="37" fillId="0" borderId="0" xfId="0" applyFont="1" applyAlignment="1">
      <alignment horizontal="left" vertical="center" indent="1"/>
    </xf>
    <xf numFmtId="0" fontId="37" fillId="0" borderId="0" xfId="0" applyFont="1" applyAlignment="1">
      <alignment horizontal="left" vertical="center" wrapText="1"/>
    </xf>
    <xf numFmtId="0" fontId="57" fillId="0" borderId="0" xfId="0" applyFont="1" applyAlignment="1">
      <alignment horizontal="center" vertical="top" wrapText="1"/>
    </xf>
    <xf numFmtId="0" fontId="19" fillId="0" borderId="0" xfId="0" applyFont="1" applyAlignment="1">
      <alignment horizontal="center" vertical="center"/>
    </xf>
    <xf numFmtId="0" fontId="8" fillId="0" borderId="0" xfId="0" applyFont="1" applyAlignment="1">
      <alignment horizontal="center" vertical="center" wrapText="1"/>
    </xf>
    <xf numFmtId="0" fontId="5" fillId="0" borderId="0" xfId="0" applyFont="1" applyAlignment="1">
      <alignment horizontal="left" vertical="top" wrapText="1"/>
    </xf>
    <xf numFmtId="0" fontId="1" fillId="0" borderId="0" xfId="0" applyFont="1" applyAlignment="1">
      <alignment horizontal="left" vertical="top" wrapText="1"/>
    </xf>
    <xf numFmtId="0" fontId="1" fillId="0" borderId="0" xfId="0" applyFont="1" applyAlignment="1">
      <alignment horizontal="center" vertical="center" wrapText="1"/>
    </xf>
    <xf numFmtId="0" fontId="57" fillId="0" borderId="0" xfId="0" applyFont="1" applyAlignment="1">
      <alignment horizontal="center" vertical="center" wrapText="1"/>
    </xf>
    <xf numFmtId="0" fontId="9" fillId="0" borderId="0" xfId="0" applyFont="1" applyAlignment="1">
      <alignment vertical="top" wrapText="1"/>
    </xf>
    <xf numFmtId="0" fontId="8" fillId="0" borderId="4" xfId="0" applyFont="1" applyBorder="1" applyAlignment="1">
      <alignment horizontal="center" vertical="top" wrapText="1"/>
    </xf>
    <xf numFmtId="0" fontId="19" fillId="0" borderId="4" xfId="0" applyFont="1" applyBorder="1" applyAlignment="1">
      <alignment horizontal="center" wrapText="1"/>
    </xf>
    <xf numFmtId="0" fontId="9" fillId="0" borderId="4" xfId="0" applyFont="1" applyBorder="1" applyAlignment="1">
      <alignment wrapText="1"/>
    </xf>
    <xf numFmtId="0" fontId="37" fillId="0" borderId="4" xfId="0" applyFont="1" applyBorder="1" applyAlignment="1">
      <alignment horizontal="center" vertical="center" wrapText="1"/>
    </xf>
    <xf numFmtId="0" fontId="9" fillId="0" borderId="4" xfId="0" applyFont="1" applyBorder="1" applyAlignment="1">
      <alignment horizontal="center" vertical="center" wrapText="1"/>
    </xf>
    <xf numFmtId="0" fontId="9" fillId="0" borderId="4" xfId="0" applyFont="1" applyBorder="1" applyAlignment="1">
      <alignment vertical="top" wrapText="1"/>
    </xf>
    <xf numFmtId="0" fontId="9" fillId="0" borderId="0" xfId="0" applyFont="1" applyAlignment="1">
      <alignment wrapText="1"/>
    </xf>
    <xf numFmtId="0" fontId="37" fillId="0" borderId="0" xfId="0" applyFont="1" applyAlignment="1">
      <alignment wrapText="1"/>
    </xf>
    <xf numFmtId="0" fontId="37" fillId="0" borderId="0" xfId="0" applyFont="1" applyAlignment="1">
      <alignment horizontal="center" vertical="top" wrapText="1"/>
    </xf>
    <xf numFmtId="0" fontId="9" fillId="0" borderId="0" xfId="0" applyFont="1" applyAlignment="1">
      <alignment horizontal="left" vertical="top" wrapText="1"/>
    </xf>
    <xf numFmtId="0" fontId="37" fillId="0" borderId="0" xfId="0" applyFont="1" applyAlignment="1">
      <alignment horizontal="left" vertical="top"/>
    </xf>
    <xf numFmtId="0" fontId="9" fillId="0" borderId="0" xfId="0" applyFont="1" applyAlignment="1">
      <alignment horizontal="left" vertical="top" wrapText="1" indent="1"/>
    </xf>
    <xf numFmtId="0" fontId="4" fillId="0" borderId="0" xfId="0" applyFont="1" applyAlignment="1">
      <alignment vertical="top" wrapText="1"/>
    </xf>
    <xf numFmtId="0" fontId="1" fillId="0" borderId="0" xfId="0" applyFont="1" applyAlignment="1">
      <alignment vertical="top" wrapText="1"/>
    </xf>
    <xf numFmtId="0" fontId="58" fillId="0" borderId="0" xfId="0" applyFont="1" applyAlignment="1">
      <alignment vertical="top" wrapText="1"/>
    </xf>
    <xf numFmtId="0" fontId="42" fillId="0" borderId="0" xfId="0" applyFont="1" applyAlignment="1">
      <alignment horizontal="left" vertical="top" wrapText="1"/>
    </xf>
    <xf numFmtId="0" fontId="2" fillId="3" borderId="4" xfId="0" applyFont="1" applyFill="1" applyBorder="1" applyAlignment="1">
      <alignment horizontal="center" vertical="center"/>
    </xf>
    <xf numFmtId="0" fontId="2" fillId="0" borderId="0" xfId="0" applyFont="1" applyAlignment="1">
      <alignment horizontal="center"/>
    </xf>
    <xf numFmtId="0" fontId="42" fillId="0" borderId="4" xfId="0" applyFont="1" applyBorder="1" applyAlignment="1">
      <alignment vertical="center" wrapText="1"/>
    </xf>
    <xf numFmtId="0" fontId="43" fillId="0" borderId="0" xfId="0" applyFont="1" applyAlignment="1">
      <alignment horizontal="center" vertical="center" wrapText="1"/>
    </xf>
    <xf numFmtId="0" fontId="43" fillId="0" borderId="21" xfId="0" applyFont="1" applyBorder="1" applyAlignment="1">
      <alignment horizontal="center" vertical="center" wrapText="1"/>
    </xf>
    <xf numFmtId="0" fontId="43" fillId="0" borderId="4" xfId="0" applyFont="1" applyBorder="1" applyAlignment="1">
      <alignment vertical="center" wrapText="1"/>
    </xf>
    <xf numFmtId="0" fontId="9" fillId="0" borderId="0" xfId="0" applyFont="1"/>
    <xf numFmtId="0" fontId="8" fillId="0" borderId="0" xfId="0" applyFont="1"/>
    <xf numFmtId="0" fontId="37" fillId="0" borderId="4" xfId="0" applyFont="1" applyBorder="1" applyAlignment="1">
      <alignment horizontal="center"/>
    </xf>
    <xf numFmtId="0" fontId="37" fillId="0" borderId="0" xfId="0" applyFont="1" applyAlignment="1">
      <alignment horizontal="left" vertical="top" wrapText="1"/>
    </xf>
    <xf numFmtId="172" fontId="37" fillId="0" borderId="0" xfId="0" applyNumberFormat="1" applyFont="1" applyAlignment="1">
      <alignment horizontal="center" vertical="center"/>
    </xf>
    <xf numFmtId="0" fontId="9" fillId="0" borderId="0" xfId="0" applyFont="1" applyAlignment="1">
      <alignment horizontal="center" vertical="center" wrapText="1"/>
    </xf>
    <xf numFmtId="0" fontId="5" fillId="0" borderId="0" xfId="0" applyFont="1" applyAlignment="1">
      <alignment horizontal="left" vertical="top" wrapText="1" indent="1"/>
    </xf>
    <xf numFmtId="0" fontId="1" fillId="0" borderId="0" xfId="0" applyFont="1" applyAlignment="1">
      <alignment horizontal="left"/>
    </xf>
    <xf numFmtId="172" fontId="1" fillId="0" borderId="0" xfId="0" applyNumberFormat="1" applyFont="1" applyAlignment="1">
      <alignment horizontal="center" vertical="center"/>
    </xf>
    <xf numFmtId="0" fontId="1" fillId="0" borderId="0" xfId="0" applyFont="1" applyAlignment="1">
      <alignment horizontal="center"/>
    </xf>
    <xf numFmtId="0" fontId="19" fillId="0" borderId="0" xfId="0" applyFont="1"/>
    <xf numFmtId="0" fontId="37" fillId="0" borderId="0" xfId="0" applyFont="1" applyAlignment="1">
      <alignment vertical="center"/>
    </xf>
    <xf numFmtId="0" fontId="8" fillId="0" borderId="0" xfId="0" applyFont="1" applyAlignment="1">
      <alignment horizontal="left" vertical="top" wrapText="1"/>
    </xf>
    <xf numFmtId="0" fontId="9" fillId="0" borderId="0" xfId="0" applyFont="1" applyAlignment="1">
      <alignment horizontal="left" vertical="top"/>
    </xf>
    <xf numFmtId="9" fontId="37" fillId="0" borderId="1" xfId="0" applyNumberFormat="1" applyFont="1" applyBorder="1" applyAlignment="1">
      <alignment horizontal="center" vertical="center" wrapText="1"/>
    </xf>
    <xf numFmtId="0" fontId="9" fillId="0" borderId="1" xfId="0" applyFont="1" applyBorder="1" applyAlignment="1">
      <alignment horizontal="center" vertical="top" wrapText="1"/>
    </xf>
    <xf numFmtId="1" fontId="37" fillId="0" borderId="0" xfId="0" applyNumberFormat="1" applyFont="1" applyAlignment="1">
      <alignment horizontal="right" vertical="center" wrapText="1"/>
    </xf>
    <xf numFmtId="0" fontId="9" fillId="0" borderId="2" xfId="0" applyFont="1" applyBorder="1" applyAlignment="1">
      <alignment horizontal="left" vertical="top" indent="4"/>
    </xf>
    <xf numFmtId="0" fontId="19" fillId="3" borderId="4" xfId="0" applyFont="1" applyFill="1" applyBorder="1" applyAlignment="1">
      <alignment horizontal="center"/>
    </xf>
    <xf numFmtId="0" fontId="37" fillId="0" borderId="4" xfId="0" applyFont="1" applyBorder="1"/>
    <xf numFmtId="0" fontId="37" fillId="0" borderId="4" xfId="0" applyFont="1" applyBorder="1" applyAlignment="1">
      <alignment wrapText="1"/>
    </xf>
    <xf numFmtId="9" fontId="37" fillId="0" borderId="0" xfId="0" applyNumberFormat="1" applyFont="1"/>
    <xf numFmtId="0" fontId="19" fillId="3" borderId="4" xfId="0" applyFont="1" applyFill="1" applyBorder="1" applyAlignment="1">
      <alignment horizontal="center" vertical="center"/>
    </xf>
    <xf numFmtId="0" fontId="19" fillId="3" borderId="4" xfId="0" applyFont="1" applyFill="1" applyBorder="1" applyAlignment="1">
      <alignment horizontal="center" vertical="center" wrapText="1"/>
    </xf>
    <xf numFmtId="0" fontId="8" fillId="3" borderId="4" xfId="0" applyFont="1" applyFill="1" applyBorder="1" applyAlignment="1">
      <alignment horizontal="center" vertical="top"/>
    </xf>
    <xf numFmtId="0" fontId="65" fillId="0" borderId="4" xfId="0" applyFont="1" applyBorder="1" applyAlignment="1">
      <alignment horizontal="center"/>
    </xf>
    <xf numFmtId="10" fontId="9" fillId="0" borderId="0" xfId="0" applyNumberFormat="1" applyFont="1" applyAlignment="1">
      <alignment horizontal="right" vertical="top"/>
    </xf>
    <xf numFmtId="0" fontId="37" fillId="0" borderId="4" xfId="0" quotePrefix="1" applyFont="1" applyBorder="1" applyAlignment="1">
      <alignment horizontal="center"/>
    </xf>
    <xf numFmtId="10" fontId="1" fillId="0" borderId="0" xfId="0" applyNumberFormat="1" applyFont="1" applyAlignment="1">
      <alignment horizontal="right"/>
    </xf>
    <xf numFmtId="0" fontId="19" fillId="0" borderId="0" xfId="0" applyFont="1" applyAlignment="1">
      <alignment horizontal="left" vertical="top" wrapText="1"/>
    </xf>
    <xf numFmtId="0" fontId="19" fillId="3" borderId="4" xfId="0" applyFont="1" applyFill="1" applyBorder="1" applyAlignment="1">
      <alignment horizontal="center" vertical="top" wrapText="1"/>
    </xf>
    <xf numFmtId="9" fontId="37" fillId="0" borderId="4" xfId="0" applyNumberFormat="1" applyFont="1" applyBorder="1" applyAlignment="1">
      <alignment horizontal="right"/>
    </xf>
    <xf numFmtId="0" fontId="8" fillId="3" borderId="4" xfId="0" applyFont="1" applyFill="1" applyBorder="1" applyAlignment="1">
      <alignment horizontal="center" vertical="top" wrapText="1"/>
    </xf>
    <xf numFmtId="0" fontId="1" fillId="0" borderId="8" xfId="0" applyFont="1" applyBorder="1" applyAlignment="1">
      <alignment horizontal="left"/>
    </xf>
    <xf numFmtId="10" fontId="1" fillId="0" borderId="8" xfId="0" applyNumberFormat="1" applyFont="1" applyBorder="1"/>
    <xf numFmtId="173" fontId="37" fillId="0" borderId="0" xfId="0" applyNumberFormat="1" applyFont="1" applyAlignment="1">
      <alignment horizontal="center"/>
    </xf>
    <xf numFmtId="0" fontId="61" fillId="0" borderId="0" xfId="0" applyFont="1" applyAlignment="1">
      <alignment horizontal="left" vertical="top"/>
    </xf>
    <xf numFmtId="0" fontId="61" fillId="0" borderId="0" xfId="0" applyFont="1"/>
    <xf numFmtId="0" fontId="63" fillId="0" borderId="0" xfId="0" applyFont="1"/>
    <xf numFmtId="0" fontId="62" fillId="0" borderId="0" xfId="0" applyFont="1" applyAlignment="1">
      <alignment horizontal="left"/>
    </xf>
    <xf numFmtId="0" fontId="9" fillId="0" borderId="0" xfId="0" applyFont="1" applyAlignment="1">
      <alignment horizontal="center" vertical="center"/>
    </xf>
    <xf numFmtId="0" fontId="9" fillId="0" borderId="0" xfId="0" applyFont="1" applyAlignment="1">
      <alignment horizontal="left"/>
    </xf>
    <xf numFmtId="0" fontId="37" fillId="0" borderId="0" xfId="0" applyFont="1" applyAlignment="1">
      <alignment horizontal="center" wrapText="1"/>
    </xf>
    <xf numFmtId="169" fontId="37" fillId="0" borderId="0" xfId="0" applyNumberFormat="1" applyFont="1" applyAlignment="1">
      <alignment horizontal="right" vertical="top"/>
    </xf>
    <xf numFmtId="0" fontId="9" fillId="3" borderId="4" xfId="0" applyFont="1" applyFill="1" applyBorder="1"/>
    <xf numFmtId="169" fontId="19" fillId="3" borderId="4" xfId="0" applyNumberFormat="1" applyFont="1" applyFill="1" applyBorder="1" applyAlignment="1">
      <alignment horizontal="center" vertical="top"/>
    </xf>
    <xf numFmtId="4" fontId="37" fillId="0" borderId="0" xfId="0" applyNumberFormat="1" applyFont="1" applyAlignment="1">
      <alignment horizontal="right" vertical="top"/>
    </xf>
    <xf numFmtId="169" fontId="37" fillId="0" borderId="0" xfId="0" applyNumberFormat="1" applyFont="1" applyAlignment="1">
      <alignment horizontal="center" vertical="top"/>
    </xf>
    <xf numFmtId="0" fontId="19" fillId="0" borderId="0" xfId="0" applyFont="1" applyAlignment="1">
      <alignment horizontal="left"/>
    </xf>
    <xf numFmtId="0" fontId="37" fillId="0" borderId="0" xfId="0" applyFont="1" applyAlignment="1">
      <alignment horizontal="left"/>
    </xf>
    <xf numFmtId="0" fontId="37" fillId="0" borderId="0" xfId="0" applyFont="1" applyAlignment="1">
      <alignment horizontal="left" vertical="top" wrapText="1" indent="8"/>
    </xf>
    <xf numFmtId="169" fontId="37" fillId="0" borderId="0" xfId="0" applyNumberFormat="1" applyFont="1" applyAlignment="1">
      <alignment horizontal="center"/>
    </xf>
    <xf numFmtId="0" fontId="37" fillId="0" borderId="0" xfId="0" applyFont="1" applyAlignment="1">
      <alignment horizontal="left" wrapText="1"/>
    </xf>
    <xf numFmtId="0" fontId="69" fillId="0" borderId="0" xfId="0" applyFont="1"/>
    <xf numFmtId="0" fontId="69" fillId="0" borderId="0" xfId="0" applyFont="1" applyProtection="1">
      <protection locked="0"/>
    </xf>
    <xf numFmtId="0" fontId="9" fillId="0" borderId="4" xfId="0" applyFont="1" applyBorder="1" applyAlignment="1" applyProtection="1">
      <alignment horizontal="center" vertical="center"/>
      <protection locked="0"/>
    </xf>
    <xf numFmtId="0" fontId="72" fillId="0" borderId="0" xfId="0" applyFont="1" applyAlignment="1" applyProtection="1">
      <alignment horizontal="center" vertical="center" wrapText="1"/>
      <protection locked="0"/>
    </xf>
    <xf numFmtId="0" fontId="72" fillId="0" borderId="0" xfId="0" applyFont="1" applyAlignment="1" applyProtection="1">
      <alignment vertical="center" wrapText="1"/>
      <protection locked="0"/>
    </xf>
    <xf numFmtId="0" fontId="38" fillId="0" borderId="0" xfId="0" applyFont="1" applyProtection="1">
      <protection locked="0"/>
    </xf>
    <xf numFmtId="9" fontId="37" fillId="0" borderId="4" xfId="0" applyNumberFormat="1" applyFont="1" applyBorder="1" applyAlignment="1" applyProtection="1">
      <alignment horizontal="center" vertical="center" wrapText="1"/>
      <protection locked="0"/>
    </xf>
    <xf numFmtId="0" fontId="9" fillId="0" borderId="4" xfId="0" applyFont="1" applyBorder="1" applyAlignment="1" applyProtection="1">
      <alignment horizontal="center" vertical="center" wrapText="1"/>
      <protection locked="0"/>
    </xf>
    <xf numFmtId="0" fontId="37" fillId="4" borderId="4" xfId="0" applyFont="1" applyFill="1" applyBorder="1" applyAlignment="1" applyProtection="1">
      <alignment horizontal="center" vertical="center"/>
      <protection locked="0"/>
    </xf>
    <xf numFmtId="9" fontId="37" fillId="0" borderId="4" xfId="0" applyNumberFormat="1" applyFont="1" applyBorder="1" applyAlignment="1" applyProtection="1">
      <alignment horizontal="right"/>
      <protection locked="0"/>
    </xf>
    <xf numFmtId="9" fontId="9" fillId="0" borderId="4" xfId="0" applyNumberFormat="1" applyFont="1" applyBorder="1" applyAlignment="1">
      <alignment horizontal="right" vertical="top"/>
    </xf>
    <xf numFmtId="9" fontId="9" fillId="0" borderId="4" xfId="0" applyNumberFormat="1" applyFont="1" applyBorder="1" applyAlignment="1" applyProtection="1">
      <alignment horizontal="right" vertical="top"/>
      <protection locked="0"/>
    </xf>
    <xf numFmtId="9" fontId="37" fillId="0" borderId="19" xfId="0" applyNumberFormat="1" applyFont="1" applyBorder="1" applyAlignment="1">
      <alignment horizontal="right"/>
    </xf>
    <xf numFmtId="9" fontId="37" fillId="0" borderId="4" xfId="2" applyFont="1" applyBorder="1" applyAlignment="1" applyProtection="1">
      <alignment horizontal="right"/>
      <protection locked="0"/>
    </xf>
    <xf numFmtId="9" fontId="37" fillId="0" borderId="21" xfId="0" applyNumberFormat="1" applyFont="1" applyBorder="1"/>
    <xf numFmtId="0" fontId="37" fillId="0" borderId="1" xfId="0" applyFont="1" applyBorder="1" applyAlignment="1" applyProtection="1">
      <alignment horizontal="center"/>
      <protection locked="0"/>
    </xf>
    <xf numFmtId="16" fontId="37" fillId="0" borderId="6" xfId="0" applyNumberFormat="1" applyFont="1" applyBorder="1" applyAlignment="1" applyProtection="1">
      <alignment horizontal="center"/>
      <protection locked="0"/>
    </xf>
    <xf numFmtId="0" fontId="37" fillId="0" borderId="6" xfId="0" applyFont="1" applyBorder="1" applyAlignment="1" applyProtection="1">
      <alignment horizontal="center"/>
      <protection locked="0"/>
    </xf>
    <xf numFmtId="14" fontId="37" fillId="0" borderId="1" xfId="0" applyNumberFormat="1" applyFont="1" applyBorder="1" applyAlignment="1" applyProtection="1">
      <alignment horizontal="center"/>
      <protection locked="0"/>
    </xf>
    <xf numFmtId="0" fontId="37" fillId="0" borderId="4" xfId="0" applyFont="1" applyBorder="1" applyAlignment="1" applyProtection="1">
      <alignment horizontal="center" vertical="center" wrapText="1"/>
      <protection locked="0"/>
    </xf>
    <xf numFmtId="169" fontId="37" fillId="0" borderId="1" xfId="0" applyNumberFormat="1" applyFont="1" applyBorder="1" applyAlignment="1" applyProtection="1">
      <alignment horizontal="center"/>
      <protection locked="0"/>
    </xf>
    <xf numFmtId="0" fontId="1" fillId="0" borderId="0" xfId="0" applyFont="1" applyProtection="1">
      <protection locked="0"/>
    </xf>
    <xf numFmtId="0" fontId="71" fillId="0" borderId="0" xfId="0" applyFont="1" applyProtection="1">
      <protection locked="0"/>
    </xf>
    <xf numFmtId="170" fontId="37" fillId="0" borderId="4" xfId="0" applyNumberFormat="1" applyFont="1" applyBorder="1" applyAlignment="1" applyProtection="1">
      <alignment horizontal="center"/>
      <protection locked="0"/>
    </xf>
    <xf numFmtId="0" fontId="39" fillId="0" borderId="0" xfId="1" applyFont="1" applyAlignment="1">
      <alignment horizontal="left" vertical="top"/>
    </xf>
    <xf numFmtId="9" fontId="1" fillId="0" borderId="19" xfId="1" applyNumberFormat="1" applyBorder="1" applyAlignment="1" applyProtection="1">
      <alignment horizontal="center" vertical="center" wrapText="1"/>
      <protection locked="0"/>
    </xf>
    <xf numFmtId="10" fontId="5" fillId="0" borderId="4" xfId="1" applyNumberFormat="1" applyFont="1" applyBorder="1" applyAlignment="1" applyProtection="1">
      <alignment horizontal="center" vertical="center" wrapText="1"/>
      <protection locked="0"/>
    </xf>
    <xf numFmtId="0" fontId="73" fillId="0" borderId="0" xfId="0" applyFont="1" applyAlignment="1">
      <alignment vertical="center"/>
    </xf>
    <xf numFmtId="0" fontId="20" fillId="0" borderId="0" xfId="0" applyFont="1" applyAlignment="1">
      <alignment horizontal="left"/>
    </xf>
    <xf numFmtId="0" fontId="74" fillId="0" borderId="0" xfId="0" applyFont="1" applyAlignment="1">
      <alignment horizontal="left"/>
    </xf>
    <xf numFmtId="0" fontId="75" fillId="0" borderId="0" xfId="0" applyFont="1" applyAlignment="1">
      <alignment vertical="center"/>
    </xf>
    <xf numFmtId="0" fontId="20" fillId="0" borderId="0" xfId="0" applyFont="1" applyAlignment="1">
      <alignment vertical="center"/>
    </xf>
    <xf numFmtId="0" fontId="74" fillId="0" borderId="0" xfId="0" applyFont="1" applyAlignment="1">
      <alignment horizontal="left" wrapText="1"/>
    </xf>
    <xf numFmtId="0" fontId="75" fillId="0" borderId="0" xfId="0" applyFont="1"/>
    <xf numFmtId="0" fontId="73" fillId="0" borderId="0" xfId="0" applyFont="1" applyAlignment="1">
      <alignment horizontal="left" vertical="center"/>
    </xf>
    <xf numFmtId="37" fontId="20" fillId="0" borderId="0" xfId="0" applyNumberFormat="1" applyFont="1" applyAlignment="1">
      <alignment horizontal="left"/>
    </xf>
    <xf numFmtId="0" fontId="20" fillId="0" borderId="0" xfId="0" applyFont="1" applyAlignment="1">
      <alignment horizontal="center" wrapText="1"/>
    </xf>
    <xf numFmtId="0" fontId="74" fillId="0" borderId="0" xfId="0" applyFont="1" applyAlignment="1">
      <alignment horizontal="left" vertical="center" wrapText="1"/>
    </xf>
    <xf numFmtId="0" fontId="74" fillId="0" borderId="0" xfId="0" applyFont="1" applyAlignment="1">
      <alignment vertical="top" wrapText="1"/>
    </xf>
    <xf numFmtId="0" fontId="76" fillId="0" borderId="0" xfId="0" applyFont="1" applyAlignment="1">
      <alignment horizontal="left" vertical="top" wrapText="1"/>
    </xf>
    <xf numFmtId="0" fontId="76" fillId="0" borderId="0" xfId="0" applyFont="1" applyAlignment="1">
      <alignment vertical="top" wrapText="1"/>
    </xf>
    <xf numFmtId="0" fontId="74" fillId="0" borderId="0" xfId="0" applyFont="1" applyAlignment="1">
      <alignment horizontal="left" vertical="top" wrapText="1"/>
    </xf>
    <xf numFmtId="0" fontId="76" fillId="0" borderId="0" xfId="0" applyFont="1" applyAlignment="1">
      <alignment horizontal="left"/>
    </xf>
    <xf numFmtId="0" fontId="76" fillId="0" borderId="0" xfId="0" applyFont="1" applyAlignment="1">
      <alignment horizontal="left" vertical="center"/>
    </xf>
    <xf numFmtId="0" fontId="77" fillId="0" borderId="0" xfId="0" applyFont="1" applyAlignment="1">
      <alignment horizontal="left" vertical="top" wrapText="1"/>
    </xf>
    <xf numFmtId="14" fontId="20" fillId="0" borderId="0" xfId="0" applyNumberFormat="1" applyFont="1" applyAlignment="1">
      <alignment horizontal="center" wrapText="1"/>
    </xf>
    <xf numFmtId="1" fontId="20" fillId="0" borderId="0" xfId="0" applyNumberFormat="1" applyFont="1" applyAlignment="1">
      <alignment horizontal="center" wrapText="1"/>
    </xf>
    <xf numFmtId="0" fontId="74" fillId="0" borderId="0" xfId="1" applyFont="1" applyAlignment="1">
      <alignment horizontal="left" wrapText="1"/>
    </xf>
    <xf numFmtId="0" fontId="74" fillId="0" borderId="0" xfId="1" applyFont="1" applyAlignment="1">
      <alignment horizontal="left" vertical="top"/>
    </xf>
    <xf numFmtId="0" fontId="74" fillId="0" borderId="0" xfId="1" applyFont="1" applyAlignment="1">
      <alignment horizontal="left" vertical="top" wrapText="1"/>
    </xf>
    <xf numFmtId="2" fontId="20" fillId="0" borderId="0" xfId="0" applyNumberFormat="1" applyFont="1" applyAlignment="1">
      <alignment horizontal="left"/>
    </xf>
    <xf numFmtId="1" fontId="20" fillId="0" borderId="0" xfId="0" applyNumberFormat="1" applyFont="1" applyAlignment="1">
      <alignment horizontal="left"/>
    </xf>
    <xf numFmtId="49" fontId="74" fillId="0" borderId="0" xfId="1" applyNumberFormat="1" applyFont="1" applyAlignment="1">
      <alignment horizontal="left" vertical="top" wrapText="1"/>
    </xf>
    <xf numFmtId="14" fontId="20" fillId="0" borderId="0" xfId="0" applyNumberFormat="1" applyFont="1" applyAlignment="1">
      <alignment horizontal="left"/>
    </xf>
    <xf numFmtId="1" fontId="20" fillId="0" borderId="0" xfId="0" applyNumberFormat="1" applyFont="1" applyAlignment="1">
      <alignment vertical="center"/>
    </xf>
    <xf numFmtId="9" fontId="20" fillId="0" borderId="0" xfId="0" applyNumberFormat="1" applyFont="1" applyAlignment="1">
      <alignment vertical="center"/>
    </xf>
    <xf numFmtId="10" fontId="20" fillId="0" borderId="0" xfId="0" applyNumberFormat="1" applyFont="1"/>
    <xf numFmtId="170" fontId="20" fillId="0" borderId="0" xfId="0" applyNumberFormat="1" applyFont="1"/>
    <xf numFmtId="49" fontId="20" fillId="0" borderId="0" xfId="0" applyNumberFormat="1" applyFont="1"/>
    <xf numFmtId="0" fontId="74" fillId="0" borderId="0" xfId="0" applyFont="1" applyProtection="1">
      <protection locked="0"/>
    </xf>
    <xf numFmtId="0" fontId="74" fillId="0" borderId="0" xfId="0" applyFont="1" applyAlignment="1" applyProtection="1">
      <alignment vertical="center"/>
      <protection locked="0"/>
    </xf>
    <xf numFmtId="9" fontId="20" fillId="0" borderId="0" xfId="0" applyNumberFormat="1" applyFont="1" applyAlignment="1">
      <alignment horizontal="center" wrapText="1"/>
    </xf>
    <xf numFmtId="10" fontId="20" fillId="0" borderId="0" xfId="0" applyNumberFormat="1" applyFont="1" applyAlignment="1">
      <alignment horizontal="center" wrapText="1"/>
    </xf>
    <xf numFmtId="9" fontId="74" fillId="0" borderId="0" xfId="0" applyNumberFormat="1" applyFont="1" applyAlignment="1">
      <alignment horizontal="left" vertical="center"/>
    </xf>
    <xf numFmtId="10" fontId="74" fillId="0" borderId="0" xfId="0" applyNumberFormat="1" applyFont="1"/>
    <xf numFmtId="0" fontId="20" fillId="0" borderId="0" xfId="0" applyFont="1" applyAlignment="1">
      <alignment horizontal="center"/>
    </xf>
    <xf numFmtId="37" fontId="20" fillId="0" borderId="0" xfId="0" applyNumberFormat="1" applyFont="1" applyAlignment="1">
      <alignment horizontal="center"/>
    </xf>
    <xf numFmtId="0" fontId="74" fillId="0" borderId="0" xfId="1" applyFont="1" applyAlignment="1">
      <alignment vertical="top" wrapText="1"/>
    </xf>
    <xf numFmtId="8" fontId="20" fillId="0" borderId="0" xfId="0" applyNumberFormat="1" applyFont="1"/>
    <xf numFmtId="8" fontId="20" fillId="0" borderId="3" xfId="0" applyNumberFormat="1" applyFont="1" applyBorder="1"/>
    <xf numFmtId="0" fontId="20" fillId="0" borderId="0" xfId="0" applyFont="1" applyAlignment="1">
      <alignment wrapText="1"/>
    </xf>
    <xf numFmtId="14" fontId="20" fillId="0" borderId="0" xfId="0" applyNumberFormat="1" applyFont="1"/>
    <xf numFmtId="0" fontId="74" fillId="0" borderId="0" xfId="1" applyFont="1"/>
    <xf numFmtId="14" fontId="74" fillId="0" borderId="0" xfId="1" applyNumberFormat="1" applyFont="1" applyAlignment="1">
      <alignment vertical="top"/>
    </xf>
    <xf numFmtId="1" fontId="74" fillId="0" borderId="0" xfId="1" applyNumberFormat="1" applyFont="1" applyAlignment="1">
      <alignment vertical="top"/>
    </xf>
    <xf numFmtId="0" fontId="77" fillId="0" borderId="0" xfId="1" applyFont="1" applyAlignment="1">
      <alignment vertical="top"/>
    </xf>
    <xf numFmtId="0" fontId="20" fillId="0" borderId="0" xfId="0" applyFont="1" applyAlignment="1">
      <alignment horizontal="left" vertical="center"/>
    </xf>
    <xf numFmtId="0" fontId="20" fillId="0" borderId="0" xfId="0" applyFont="1" applyAlignment="1">
      <alignment horizontal="left" vertical="center" wrapText="1"/>
    </xf>
    <xf numFmtId="171" fontId="20" fillId="0" borderId="0" xfId="0" applyNumberFormat="1" applyFont="1" applyAlignment="1">
      <alignment horizontal="left" vertical="center"/>
    </xf>
    <xf numFmtId="10" fontId="20" fillId="0" borderId="0" xfId="0" applyNumberFormat="1" applyFont="1" applyAlignment="1">
      <alignment horizontal="center"/>
    </xf>
    <xf numFmtId="0" fontId="78" fillId="2" borderId="23" xfId="1" applyFont="1" applyFill="1" applyBorder="1" applyAlignment="1">
      <alignment horizontal="center" vertical="center" wrapText="1"/>
    </xf>
    <xf numFmtId="0" fontId="79" fillId="0" borderId="0" xfId="1" applyFont="1" applyAlignment="1">
      <alignment wrapText="1"/>
    </xf>
    <xf numFmtId="0" fontId="80" fillId="0" borderId="0" xfId="1" applyFont="1" applyAlignment="1">
      <alignment horizontal="justify" vertical="center"/>
    </xf>
    <xf numFmtId="0" fontId="82" fillId="0" borderId="0" xfId="1" applyFont="1" applyAlignment="1">
      <alignment horizontal="justify" vertical="center"/>
    </xf>
    <xf numFmtId="0" fontId="85" fillId="0" borderId="0" xfId="1" applyFont="1" applyAlignment="1">
      <alignment horizontal="justify" vertical="center"/>
    </xf>
    <xf numFmtId="0" fontId="83" fillId="0" borderId="0" xfId="1" applyFont="1" applyAlignment="1">
      <alignment horizontal="justify" vertical="center"/>
    </xf>
    <xf numFmtId="0" fontId="87" fillId="0" borderId="0" xfId="1" applyFont="1" applyAlignment="1">
      <alignment horizontal="justify" vertical="center"/>
    </xf>
    <xf numFmtId="0" fontId="84" fillId="0" borderId="0" xfId="1" applyFont="1" applyAlignment="1">
      <alignment horizontal="justify" vertical="center"/>
    </xf>
    <xf numFmtId="0" fontId="88" fillId="0" borderId="0" xfId="1" applyFont="1" applyAlignment="1">
      <alignment horizontal="justify" vertical="center"/>
    </xf>
    <xf numFmtId="0" fontId="77" fillId="0" borderId="0" xfId="1" applyFont="1" applyAlignment="1">
      <alignment horizontal="center" vertical="center"/>
    </xf>
    <xf numFmtId="0" fontId="79" fillId="0" borderId="0" xfId="1" applyFont="1"/>
    <xf numFmtId="0" fontId="79" fillId="0" borderId="23" xfId="1" applyFont="1" applyBorder="1" applyAlignment="1">
      <alignment horizontal="left" vertical="top" wrapText="1"/>
    </xf>
    <xf numFmtId="0" fontId="80" fillId="0" borderId="0" xfId="1" applyFont="1" applyAlignment="1">
      <alignment horizontal="justify" vertical="center" wrapText="1"/>
    </xf>
    <xf numFmtId="2" fontId="1" fillId="0" borderId="4" xfId="1" applyNumberFormat="1" applyBorder="1" applyAlignment="1" applyProtection="1">
      <alignment horizontal="center" vertical="center" wrapText="1"/>
      <protection locked="0"/>
    </xf>
    <xf numFmtId="14" fontId="37" fillId="0" borderId="4" xfId="0" applyNumberFormat="1" applyFont="1" applyBorder="1" applyAlignment="1" applyProtection="1">
      <alignment horizontal="center"/>
      <protection locked="0"/>
    </xf>
    <xf numFmtId="9" fontId="37" fillId="0" borderId="4" xfId="0" applyNumberFormat="1" applyFont="1" applyBorder="1" applyAlignment="1" applyProtection="1">
      <alignment horizontal="right" wrapText="1"/>
      <protection locked="0"/>
    </xf>
    <xf numFmtId="14" fontId="37" fillId="0" borderId="4" xfId="0" applyNumberFormat="1" applyFont="1" applyBorder="1" applyAlignment="1" applyProtection="1">
      <alignment horizontal="center" vertical="center"/>
      <protection locked="0"/>
    </xf>
    <xf numFmtId="2" fontId="37" fillId="0" borderId="21" xfId="0" applyNumberFormat="1" applyFont="1" applyBorder="1" applyAlignment="1">
      <alignment horizontal="center" vertical="center"/>
    </xf>
    <xf numFmtId="9" fontId="37" fillId="0" borderId="4" xfId="0" applyNumberFormat="1" applyFont="1" applyBorder="1" applyAlignment="1">
      <alignment horizontal="center" vertical="center"/>
    </xf>
    <xf numFmtId="0" fontId="1" fillId="0" borderId="21" xfId="1" applyBorder="1" applyAlignment="1" applyProtection="1">
      <alignment horizontal="center" vertical="center"/>
      <protection locked="0"/>
    </xf>
    <xf numFmtId="0" fontId="1" fillId="0" borderId="3" xfId="1" applyBorder="1" applyAlignment="1" applyProtection="1">
      <alignment horizontal="center" vertical="center"/>
      <protection locked="0"/>
    </xf>
    <xf numFmtId="0" fontId="1" fillId="0" borderId="19" xfId="1" applyBorder="1" applyAlignment="1" applyProtection="1">
      <alignment horizontal="center" vertical="center"/>
      <protection locked="0"/>
    </xf>
    <xf numFmtId="0" fontId="1" fillId="0" borderId="0" xfId="1" applyAlignment="1" applyProtection="1">
      <alignment horizontal="left" vertical="center" indent="1"/>
      <protection locked="0"/>
    </xf>
    <xf numFmtId="49" fontId="1" fillId="0" borderId="0" xfId="1" quotePrefix="1" applyNumberFormat="1" applyAlignment="1" applyProtection="1">
      <alignment horizontal="left" vertical="center" indent="1"/>
      <protection locked="0"/>
    </xf>
    <xf numFmtId="0" fontId="1" fillId="0" borderId="0" xfId="1" applyAlignment="1" applyProtection="1">
      <alignment horizontal="center" vertical="center"/>
      <protection locked="0"/>
    </xf>
    <xf numFmtId="0" fontId="94" fillId="0" borderId="4" xfId="1" applyFont="1" applyBorder="1" applyAlignment="1">
      <alignment horizontal="left" vertical="center" wrapText="1"/>
    </xf>
    <xf numFmtId="0" fontId="95" fillId="0" borderId="4" xfId="1" applyFont="1" applyBorder="1" applyAlignment="1">
      <alignment horizontal="left" vertical="center" wrapText="1"/>
    </xf>
    <xf numFmtId="0" fontId="94" fillId="0" borderId="4" xfId="1" applyFont="1" applyBorder="1" applyAlignment="1">
      <alignment vertical="center" wrapText="1"/>
    </xf>
    <xf numFmtId="0" fontId="96" fillId="0" borderId="4" xfId="1" applyFont="1" applyBorder="1" applyAlignment="1">
      <alignment horizontal="left" vertical="center" wrapText="1"/>
    </xf>
    <xf numFmtId="0" fontId="55" fillId="3" borderId="4" xfId="1" applyFont="1" applyFill="1" applyBorder="1" applyAlignment="1">
      <alignment horizontal="center"/>
    </xf>
    <xf numFmtId="0" fontId="34" fillId="0" borderId="27" xfId="0" applyFont="1" applyBorder="1" applyAlignment="1" applyProtection="1">
      <alignment horizontal="left" vertical="top" wrapText="1"/>
      <protection locked="0"/>
    </xf>
    <xf numFmtId="169" fontId="46" fillId="0" borderId="27" xfId="0" applyNumberFormat="1" applyFont="1" applyBorder="1" applyAlignment="1" applyProtection="1">
      <alignment horizontal="center" vertical="center"/>
      <protection locked="0"/>
    </xf>
    <xf numFmtId="0" fontId="37" fillId="0" borderId="4" xfId="0" applyFont="1" applyBorder="1" applyAlignment="1" applyProtection="1">
      <alignment horizontal="center" vertical="center"/>
      <protection locked="0"/>
    </xf>
    <xf numFmtId="0" fontId="1" fillId="0" borderId="1" xfId="1" applyBorder="1" applyAlignment="1" applyProtection="1">
      <alignment horizontal="center"/>
      <protection locked="0"/>
    </xf>
    <xf numFmtId="0" fontId="1" fillId="0" borderId="0" xfId="1" applyAlignment="1">
      <alignment wrapText="1"/>
    </xf>
    <xf numFmtId="0" fontId="1" fillId="0" borderId="5" xfId="1" applyBorder="1" applyAlignment="1" applyProtection="1">
      <alignment horizontal="left" vertical="top" wrapText="1"/>
      <protection locked="0"/>
    </xf>
    <xf numFmtId="0" fontId="1" fillId="0" borderId="6" xfId="1" applyBorder="1" applyAlignment="1" applyProtection="1">
      <alignment horizontal="left" vertical="top" wrapText="1"/>
      <protection locked="0"/>
    </xf>
    <xf numFmtId="0" fontId="1" fillId="0" borderId="7" xfId="1" applyBorder="1" applyAlignment="1" applyProtection="1">
      <alignment horizontal="left" vertical="top" wrapText="1"/>
      <protection locked="0"/>
    </xf>
    <xf numFmtId="0" fontId="2" fillId="2" borderId="0" xfId="1" applyFont="1" applyFill="1" applyAlignment="1">
      <alignment horizontal="center" vertical="center"/>
    </xf>
    <xf numFmtId="0" fontId="1" fillId="0" borderId="0" xfId="1"/>
    <xf numFmtId="0" fontId="1" fillId="0" borderId="0" xfId="1" applyAlignment="1">
      <alignment horizontal="left" vertical="top" wrapText="1"/>
    </xf>
    <xf numFmtId="0" fontId="1" fillId="0" borderId="0" xfId="1" applyAlignment="1">
      <alignment horizontal="left" vertical="center" wrapText="1"/>
    </xf>
    <xf numFmtId="0" fontId="31" fillId="0" borderId="24" xfId="0" applyFont="1" applyBorder="1" applyAlignment="1" applyProtection="1">
      <alignment horizontal="center" vertical="center"/>
      <protection locked="0"/>
    </xf>
    <xf numFmtId="0" fontId="1" fillId="0" borderId="25" xfId="0" applyFont="1" applyBorder="1" applyProtection="1">
      <protection locked="0"/>
    </xf>
    <xf numFmtId="0" fontId="1" fillId="0" borderId="26" xfId="0" applyFont="1" applyBorder="1" applyProtection="1">
      <protection locked="0"/>
    </xf>
    <xf numFmtId="0" fontId="1" fillId="0" borderId="1" xfId="1" applyBorder="1" applyAlignment="1" applyProtection="1">
      <alignment horizontal="left"/>
      <protection locked="0"/>
    </xf>
    <xf numFmtId="0" fontId="4" fillId="0" borderId="1" xfId="1" applyFont="1" applyBorder="1" applyAlignment="1" applyProtection="1">
      <alignment horizontal="left"/>
      <protection locked="0"/>
    </xf>
    <xf numFmtId="0" fontId="1" fillId="0" borderId="1" xfId="1" applyBorder="1" applyAlignment="1" applyProtection="1">
      <alignment horizontal="left" wrapText="1"/>
      <protection locked="0"/>
    </xf>
    <xf numFmtId="0" fontId="1" fillId="0" borderId="8" xfId="1" applyBorder="1" applyAlignment="1">
      <alignment horizontal="left" vertical="top" wrapText="1"/>
    </xf>
    <xf numFmtId="0" fontId="4" fillId="0" borderId="0" xfId="1" applyFont="1" applyAlignment="1">
      <alignment horizontal="left" vertical="center" wrapText="1"/>
    </xf>
    <xf numFmtId="0" fontId="70" fillId="0" borderId="0" xfId="1" applyFont="1" applyAlignment="1">
      <alignment horizontal="left" vertical="top" wrapText="1"/>
    </xf>
    <xf numFmtId="0" fontId="1" fillId="0" borderId="1" xfId="1" applyBorder="1" applyAlignment="1">
      <alignment horizontal="left" vertical="center" wrapText="1"/>
    </xf>
    <xf numFmtId="0" fontId="18" fillId="0" borderId="5" xfId="1" applyFont="1" applyBorder="1" applyAlignment="1">
      <alignment horizontal="left" vertical="top" wrapText="1"/>
    </xf>
    <xf numFmtId="0" fontId="18" fillId="0" borderId="6" xfId="1" applyFont="1" applyBorder="1" applyAlignment="1">
      <alignment horizontal="left" vertical="top" wrapText="1"/>
    </xf>
    <xf numFmtId="0" fontId="14" fillId="0" borderId="5" xfId="1" applyFont="1" applyBorder="1" applyAlignment="1">
      <alignment horizontal="left" vertical="top" wrapText="1"/>
    </xf>
    <xf numFmtId="0" fontId="14" fillId="0" borderId="6" xfId="1" applyFont="1" applyBorder="1" applyAlignment="1">
      <alignment horizontal="left" vertical="top" wrapText="1"/>
    </xf>
    <xf numFmtId="0" fontId="46" fillId="0" borderId="0" xfId="1" applyFont="1" applyAlignment="1">
      <alignment horizontal="left" vertical="top" wrapText="1"/>
    </xf>
    <xf numFmtId="0" fontId="46" fillId="0" borderId="0" xfId="1" applyFont="1" applyAlignment="1">
      <alignment horizontal="left" vertical="center" wrapText="1"/>
    </xf>
    <xf numFmtId="0" fontId="1" fillId="3" borderId="4" xfId="1" applyFill="1" applyBorder="1" applyAlignment="1">
      <alignment horizontal="center"/>
    </xf>
    <xf numFmtId="0" fontId="1" fillId="0" borderId="0" xfId="1" applyAlignment="1">
      <alignment horizontal="left" vertical="top" wrapText="1" indent="1"/>
    </xf>
    <xf numFmtId="0" fontId="1" fillId="0" borderId="0" xfId="1" applyAlignment="1">
      <alignment horizontal="left" vertical="top" wrapText="1" indent="4"/>
    </xf>
    <xf numFmtId="0" fontId="1" fillId="0" borderId="1" xfId="1" applyBorder="1" applyAlignment="1">
      <alignment horizontal="left" vertical="top" wrapText="1" indent="4"/>
    </xf>
    <xf numFmtId="0" fontId="46" fillId="0" borderId="2" xfId="1" applyFont="1" applyBorder="1" applyAlignment="1">
      <alignment horizontal="left" vertical="top" wrapText="1"/>
    </xf>
    <xf numFmtId="0" fontId="46" fillId="0" borderId="3" xfId="1" applyFont="1" applyBorder="1" applyAlignment="1">
      <alignment horizontal="left" vertical="top" wrapText="1"/>
    </xf>
    <xf numFmtId="0" fontId="4" fillId="0" borderId="0" xfId="1" applyFont="1" applyAlignment="1">
      <alignment horizontal="center" vertical="center" wrapText="1"/>
    </xf>
    <xf numFmtId="0" fontId="93" fillId="0" borderId="1" xfId="1" applyFont="1" applyBorder="1" applyAlignment="1">
      <alignment horizontal="center" vertical="center" wrapText="1"/>
    </xf>
    <xf numFmtId="0" fontId="22" fillId="3" borderId="21" xfId="1" applyFont="1" applyFill="1" applyBorder="1" applyAlignment="1">
      <alignment horizontal="center" vertical="center" wrapText="1"/>
    </xf>
    <xf numFmtId="0" fontId="22" fillId="3" borderId="19" xfId="1" applyFont="1" applyFill="1" applyBorder="1" applyAlignment="1">
      <alignment horizontal="center" vertical="center" wrapText="1"/>
    </xf>
    <xf numFmtId="0" fontId="15" fillId="0" borderId="21" xfId="1" applyFont="1" applyBorder="1" applyAlignment="1">
      <alignment horizontal="center" vertical="center" wrapText="1"/>
    </xf>
    <xf numFmtId="0" fontId="15" fillId="0" borderId="19" xfId="1" applyFont="1" applyBorder="1" applyAlignment="1">
      <alignment horizontal="center" vertical="center" wrapText="1"/>
    </xf>
    <xf numFmtId="0" fontId="93" fillId="0" borderId="0" xfId="1" applyFont="1" applyAlignment="1">
      <alignment horizontal="center" vertical="center" wrapText="1"/>
    </xf>
    <xf numFmtId="0" fontId="55" fillId="0" borderId="0" xfId="1" applyFont="1" applyAlignment="1">
      <alignment horizontal="center" vertical="center" wrapText="1"/>
    </xf>
    <xf numFmtId="0" fontId="27" fillId="3" borderId="4" xfId="1" applyFont="1" applyFill="1" applyBorder="1" applyAlignment="1">
      <alignment horizontal="center" vertical="center" wrapText="1"/>
    </xf>
    <xf numFmtId="0" fontId="15" fillId="0" borderId="4" xfId="1" applyFont="1" applyBorder="1" applyAlignment="1">
      <alignment horizontal="center" vertical="center" wrapText="1"/>
    </xf>
    <xf numFmtId="0" fontId="1" fillId="0" borderId="4" xfId="1" applyBorder="1" applyAlignment="1">
      <alignment vertical="center"/>
    </xf>
    <xf numFmtId="0" fontId="5" fillId="0" borderId="5" xfId="1" applyFont="1" applyBorder="1"/>
    <xf numFmtId="0" fontId="1" fillId="0" borderId="7" xfId="1" applyBorder="1"/>
    <xf numFmtId="0" fontId="1" fillId="0" borderId="5" xfId="1" applyBorder="1"/>
    <xf numFmtId="0" fontId="1" fillId="3" borderId="4" xfId="1" applyFill="1" applyBorder="1" applyAlignment="1">
      <alignment vertical="center"/>
    </xf>
    <xf numFmtId="0" fontId="1" fillId="0" borderId="5" xfId="1" applyBorder="1" applyAlignment="1">
      <alignment vertical="center" wrapText="1"/>
    </xf>
    <xf numFmtId="0" fontId="1" fillId="0" borderId="7" xfId="1" applyBorder="1" applyAlignment="1">
      <alignment vertical="center" wrapText="1"/>
    </xf>
    <xf numFmtId="0" fontId="4" fillId="0" borderId="4" xfId="1" applyFont="1" applyBorder="1" applyAlignment="1">
      <alignment vertical="center"/>
    </xf>
    <xf numFmtId="0" fontId="4" fillId="0" borderId="0" xfId="1" applyFont="1" applyAlignment="1">
      <alignment horizontal="left" wrapText="1"/>
    </xf>
    <xf numFmtId="0" fontId="1" fillId="0" borderId="0" xfId="1" applyAlignment="1">
      <alignment horizontal="left" wrapText="1"/>
    </xf>
    <xf numFmtId="0" fontId="1" fillId="0" borderId="0" xfId="5" applyFont="1" applyAlignment="1" applyProtection="1">
      <alignment vertical="top" wrapText="1"/>
    </xf>
    <xf numFmtId="0" fontId="1" fillId="0" borderId="21" xfId="1" applyBorder="1" applyAlignment="1">
      <alignment horizontal="center" vertical="center"/>
    </xf>
    <xf numFmtId="0" fontId="1" fillId="0" borderId="19" xfId="1" applyBorder="1" applyAlignment="1">
      <alignment horizontal="center" vertical="center"/>
    </xf>
    <xf numFmtId="0" fontId="4" fillId="0" borderId="5" xfId="1" applyFont="1" applyBorder="1" applyAlignment="1">
      <alignment horizontal="center" vertical="center"/>
    </xf>
    <xf numFmtId="0" fontId="4" fillId="0" borderId="6" xfId="1" applyFont="1" applyBorder="1" applyAlignment="1">
      <alignment horizontal="center" vertical="center"/>
    </xf>
    <xf numFmtId="0" fontId="4" fillId="0" borderId="7" xfId="1" applyFont="1" applyBorder="1" applyAlignment="1">
      <alignment horizontal="center" vertical="center"/>
    </xf>
    <xf numFmtId="0" fontId="9" fillId="0" borderId="0" xfId="0" applyFont="1" applyAlignment="1">
      <alignment horizontal="left" vertical="top" wrapText="1" indent="1"/>
    </xf>
    <xf numFmtId="0" fontId="37" fillId="0" borderId="0" xfId="0" applyFont="1" applyAlignment="1">
      <alignment horizontal="left" vertical="top" wrapText="1" indent="1"/>
    </xf>
    <xf numFmtId="0" fontId="37" fillId="0" borderId="0" xfId="0" applyFont="1" applyAlignment="1">
      <alignment horizontal="left" vertical="top" wrapText="1" indent="3"/>
    </xf>
    <xf numFmtId="0" fontId="37" fillId="0" borderId="0" xfId="0" applyFont="1" applyAlignment="1">
      <alignment horizontal="left" vertical="top" wrapText="1" indent="10"/>
    </xf>
    <xf numFmtId="0" fontId="37" fillId="0" borderId="0" xfId="0" applyFont="1" applyAlignment="1">
      <alignment horizontal="left" vertical="top" wrapText="1"/>
    </xf>
    <xf numFmtId="0" fontId="37" fillId="0" borderId="1" xfId="0" applyFont="1" applyBorder="1" applyAlignment="1" applyProtection="1">
      <alignment horizontal="left" wrapText="1"/>
      <protection locked="0"/>
    </xf>
    <xf numFmtId="0" fontId="8" fillId="0" borderId="0" xfId="0" applyFont="1"/>
    <xf numFmtId="0" fontId="9" fillId="0" borderId="0" xfId="0" applyFont="1"/>
    <xf numFmtId="0" fontId="37" fillId="0" borderId="0" xfId="0" applyFont="1"/>
    <xf numFmtId="0" fontId="37" fillId="0" borderId="0" xfId="0" applyFont="1" applyAlignment="1">
      <alignment horizontal="left" vertical="top" indent="6"/>
    </xf>
    <xf numFmtId="0" fontId="37" fillId="0" borderId="0" xfId="0" applyFont="1" applyAlignment="1">
      <alignment horizontal="left" vertical="center" wrapText="1"/>
    </xf>
    <xf numFmtId="0" fontId="19" fillId="0" borderId="0" xfId="0" applyFont="1" applyAlignment="1">
      <alignment horizontal="left" vertical="top" wrapText="1"/>
    </xf>
    <xf numFmtId="0" fontId="19" fillId="0" borderId="2" xfId="0" applyFont="1" applyBorder="1" applyAlignment="1">
      <alignment horizontal="left" vertical="top" wrapText="1"/>
    </xf>
    <xf numFmtId="0" fontId="37" fillId="0" borderId="2" xfId="0" applyFont="1" applyBorder="1" applyAlignment="1">
      <alignment horizontal="left" vertical="top" wrapText="1"/>
    </xf>
    <xf numFmtId="0" fontId="37" fillId="0" borderId="3" xfId="0" applyFont="1" applyBorder="1" applyAlignment="1">
      <alignment horizontal="left" vertical="top" wrapText="1"/>
    </xf>
    <xf numFmtId="0" fontId="9" fillId="0" borderId="2" xfId="0" applyFont="1" applyBorder="1" applyAlignment="1">
      <alignment horizontal="left" vertical="top" wrapText="1"/>
    </xf>
    <xf numFmtId="0" fontId="61" fillId="0" borderId="0" xfId="0" applyFont="1" applyAlignment="1">
      <alignment horizontal="left" indent="1"/>
    </xf>
    <xf numFmtId="0" fontId="62" fillId="0" borderId="0" xfId="0" applyFont="1" applyAlignment="1">
      <alignment horizontal="left"/>
    </xf>
    <xf numFmtId="0" fontId="62" fillId="0" borderId="0" xfId="0" applyFont="1" applyAlignment="1">
      <alignment horizontal="left" indent="12"/>
    </xf>
    <xf numFmtId="0" fontId="37" fillId="0" borderId="4" xfId="0" applyFont="1" applyBorder="1" applyAlignment="1">
      <alignment horizontal="left" vertical="top" wrapText="1"/>
    </xf>
    <xf numFmtId="0" fontId="37" fillId="0" borderId="9" xfId="0" applyFont="1" applyBorder="1" applyAlignment="1">
      <alignment horizontal="left"/>
    </xf>
    <xf numFmtId="0" fontId="37" fillId="0" borderId="10" xfId="0" applyFont="1" applyBorder="1" applyAlignment="1">
      <alignment horizontal="left"/>
    </xf>
    <xf numFmtId="0" fontId="37" fillId="0" borderId="4" xfId="0" applyFont="1" applyBorder="1"/>
    <xf numFmtId="0" fontId="37" fillId="0" borderId="5" xfId="0" applyFont="1" applyBorder="1" applyAlignment="1">
      <alignment horizontal="left" vertical="top" wrapText="1"/>
    </xf>
    <xf numFmtId="0" fontId="37" fillId="0" borderId="6" xfId="0" applyFont="1" applyBorder="1" applyAlignment="1">
      <alignment horizontal="left" vertical="top" wrapText="1"/>
    </xf>
    <xf numFmtId="0" fontId="8" fillId="0" borderId="0" xfId="0" applyFont="1" applyAlignment="1">
      <alignment horizontal="left" vertical="top" wrapText="1"/>
    </xf>
    <xf numFmtId="0" fontId="8" fillId="3" borderId="4" xfId="0" applyFont="1" applyFill="1" applyBorder="1" applyAlignment="1">
      <alignment horizontal="center" vertical="top" wrapText="1"/>
    </xf>
    <xf numFmtId="0" fontId="19" fillId="3" borderId="4" xfId="0" applyFont="1" applyFill="1" applyBorder="1" applyAlignment="1">
      <alignment horizontal="center" vertical="top" wrapText="1"/>
    </xf>
    <xf numFmtId="0" fontId="37" fillId="0" borderId="4" xfId="0" applyFont="1" applyBorder="1" applyAlignment="1">
      <alignment horizontal="left" vertical="center"/>
    </xf>
    <xf numFmtId="0" fontId="37" fillId="0" borderId="0" xfId="0" applyFont="1" applyAlignment="1">
      <alignment horizontal="left" vertical="top" wrapText="1" indent="2"/>
    </xf>
    <xf numFmtId="0" fontId="37" fillId="0" borderId="1" xfId="0" applyFont="1" applyBorder="1" applyAlignment="1" applyProtection="1">
      <alignment horizontal="center" wrapText="1"/>
      <protection locked="0"/>
    </xf>
    <xf numFmtId="0" fontId="19" fillId="0" borderId="0" xfId="0" applyFont="1" applyAlignment="1">
      <alignment vertical="center" wrapText="1"/>
    </xf>
    <xf numFmtId="0" fontId="37" fillId="0" borderId="0" xfId="0" applyFont="1" applyAlignment="1">
      <alignment vertical="center" wrapText="1"/>
    </xf>
    <xf numFmtId="0" fontId="8" fillId="0" borderId="2" xfId="0" applyFont="1" applyBorder="1"/>
    <xf numFmtId="0" fontId="37" fillId="0" borderId="3" xfId="0" applyFont="1" applyBorder="1"/>
    <xf numFmtId="0" fontId="37" fillId="0" borderId="20" xfId="0" applyFont="1" applyBorder="1"/>
    <xf numFmtId="0" fontId="8" fillId="0" borderId="0" xfId="0" applyFont="1" applyAlignment="1">
      <alignment horizontal="left" vertical="center" wrapText="1"/>
    </xf>
    <xf numFmtId="0" fontId="64" fillId="0" borderId="0" xfId="0" applyFont="1" applyAlignment="1">
      <alignment horizontal="left" vertical="center" wrapText="1"/>
    </xf>
    <xf numFmtId="0" fontId="61" fillId="0" borderId="0" xfId="0" applyFont="1" applyAlignment="1">
      <alignment horizontal="left"/>
    </xf>
    <xf numFmtId="0" fontId="63" fillId="0" borderId="0" xfId="0" applyFont="1" applyAlignment="1">
      <alignment horizontal="left"/>
    </xf>
    <xf numFmtId="0" fontId="19" fillId="0" borderId="0" xfId="0" applyFont="1" applyAlignment="1">
      <alignment horizontal="center"/>
    </xf>
    <xf numFmtId="0" fontId="37" fillId="0" borderId="4" xfId="0" applyFont="1" applyBorder="1" applyAlignment="1" applyProtection="1">
      <alignment horizontal="center" vertical="center"/>
      <protection locked="0"/>
    </xf>
    <xf numFmtId="0" fontId="9" fillId="0" borderId="0" xfId="0" applyFont="1" applyAlignment="1">
      <alignment horizontal="left" vertical="center" wrapText="1"/>
    </xf>
    <xf numFmtId="0" fontId="9" fillId="0" borderId="0" xfId="0" applyFont="1" applyAlignment="1">
      <alignment vertical="center" wrapText="1"/>
    </xf>
    <xf numFmtId="0" fontId="37" fillId="0" borderId="0" xfId="0" applyFont="1" applyAlignment="1">
      <alignment horizontal="left" wrapText="1" indent="1"/>
    </xf>
    <xf numFmtId="0" fontId="37" fillId="0" borderId="1" xfId="0" applyFont="1" applyBorder="1" applyAlignment="1" applyProtection="1">
      <alignment horizontal="left"/>
      <protection locked="0"/>
    </xf>
    <xf numFmtId="0" fontId="62" fillId="0" borderId="0" xfId="0" applyFont="1" applyAlignment="1">
      <alignment horizontal="left" vertical="center" wrapText="1"/>
    </xf>
    <xf numFmtId="0" fontId="63" fillId="0" borderId="0" xfId="0" applyFont="1" applyAlignment="1">
      <alignment horizontal="left" vertical="center" wrapText="1"/>
    </xf>
    <xf numFmtId="0" fontId="19" fillId="0" borderId="0" xfId="0" applyFont="1" applyAlignment="1">
      <alignment horizontal="left" vertical="center" wrapText="1"/>
    </xf>
    <xf numFmtId="0" fontId="9" fillId="0" borderId="0" xfId="0" applyFont="1" applyAlignment="1">
      <alignment vertical="top" wrapText="1"/>
    </xf>
    <xf numFmtId="0" fontId="37" fillId="0" borderId="9" xfId="0" applyFont="1" applyBorder="1" applyAlignment="1" applyProtection="1">
      <alignment horizontal="left" vertical="top" wrapText="1"/>
      <protection locked="0"/>
    </xf>
    <xf numFmtId="0" fontId="37" fillId="0" borderId="8" xfId="0" applyFont="1" applyBorder="1" applyAlignment="1" applyProtection="1">
      <alignment horizontal="left" vertical="top" wrapText="1"/>
      <protection locked="0"/>
    </xf>
    <xf numFmtId="0" fontId="37" fillId="0" borderId="10" xfId="0" applyFont="1" applyBorder="1" applyAlignment="1" applyProtection="1">
      <alignment horizontal="left" vertical="top" wrapText="1"/>
      <protection locked="0"/>
    </xf>
    <xf numFmtId="0" fontId="37" fillId="0" borderId="14" xfId="0" applyFont="1" applyBorder="1" applyAlignment="1" applyProtection="1">
      <alignment horizontal="left" vertical="top" wrapText="1"/>
      <protection locked="0"/>
    </xf>
    <xf numFmtId="0" fontId="37" fillId="0" borderId="1" xfId="0" applyFont="1" applyBorder="1" applyAlignment="1" applyProtection="1">
      <alignment horizontal="left" vertical="top" wrapText="1"/>
      <protection locked="0"/>
    </xf>
    <xf numFmtId="0" fontId="37" fillId="0" borderId="15" xfId="0" applyFont="1" applyBorder="1" applyAlignment="1" applyProtection="1">
      <alignment horizontal="left" vertical="top" wrapText="1"/>
      <protection locked="0"/>
    </xf>
    <xf numFmtId="0" fontId="43" fillId="0" borderId="0" xfId="0" applyFont="1" applyAlignment="1">
      <alignment horizontal="left" vertical="center" wrapText="1" indent="1"/>
    </xf>
    <xf numFmtId="0" fontId="42" fillId="0" borderId="0" xfId="0" applyFont="1" applyAlignment="1">
      <alignment horizontal="left" vertical="top" wrapText="1"/>
    </xf>
    <xf numFmtId="0" fontId="43" fillId="0" borderId="4" xfId="0" applyFont="1" applyBorder="1"/>
    <xf numFmtId="0" fontId="44" fillId="0" borderId="0" xfId="0" applyFont="1"/>
    <xf numFmtId="0" fontId="43" fillId="0" borderId="0" xfId="0" applyFont="1"/>
    <xf numFmtId="0" fontId="42" fillId="0" borderId="0" xfId="0" applyFont="1" applyAlignment="1">
      <alignment horizontal="left" indent="1"/>
    </xf>
    <xf numFmtId="0" fontId="2" fillId="0" borderId="0" xfId="0" applyFont="1" applyAlignment="1">
      <alignment vertical="top" wrapText="1"/>
    </xf>
    <xf numFmtId="0" fontId="37" fillId="0" borderId="0" xfId="0" applyFont="1" applyAlignment="1">
      <alignment vertical="top" wrapText="1"/>
    </xf>
    <xf numFmtId="0" fontId="19" fillId="0" borderId="0" xfId="0" applyFont="1" applyAlignment="1">
      <alignment vertical="top" wrapText="1"/>
    </xf>
    <xf numFmtId="0" fontId="37" fillId="0" borderId="0" xfId="0" applyFont="1" applyAlignment="1">
      <alignment vertical="top"/>
    </xf>
    <xf numFmtId="0" fontId="9" fillId="0" borderId="0" xfId="0" applyFont="1" applyAlignment="1">
      <alignment horizontal="left" indent="1"/>
    </xf>
    <xf numFmtId="0" fontId="37" fillId="0" borderId="0" xfId="0" applyFont="1" applyAlignment="1">
      <alignment horizontal="left" indent="1"/>
    </xf>
    <xf numFmtId="0" fontId="37" fillId="0" borderId="9" xfId="0" applyFont="1" applyBorder="1" applyAlignment="1" applyProtection="1">
      <alignment horizontal="left" vertical="center" indent="1"/>
      <protection locked="0"/>
    </xf>
    <xf numFmtId="0" fontId="37" fillId="0" borderId="8" xfId="0" applyFont="1" applyBorder="1" applyAlignment="1" applyProtection="1">
      <alignment horizontal="left" vertical="center" indent="1"/>
      <protection locked="0"/>
    </xf>
    <xf numFmtId="0" fontId="37" fillId="0" borderId="10" xfId="0" applyFont="1" applyBorder="1" applyAlignment="1" applyProtection="1">
      <alignment horizontal="left" vertical="center" indent="1"/>
      <protection locked="0"/>
    </xf>
    <xf numFmtId="0" fontId="37" fillId="0" borderId="14" xfId="0" applyFont="1" applyBorder="1" applyAlignment="1" applyProtection="1">
      <alignment horizontal="left" vertical="center" indent="1"/>
      <protection locked="0"/>
    </xf>
    <xf numFmtId="0" fontId="37" fillId="0" borderId="1" xfId="0" applyFont="1" applyBorder="1" applyAlignment="1" applyProtection="1">
      <alignment horizontal="left" vertical="center" indent="1"/>
      <protection locked="0"/>
    </xf>
    <xf numFmtId="0" fontId="37" fillId="0" borderId="15" xfId="0" applyFont="1" applyBorder="1" applyAlignment="1" applyProtection="1">
      <alignment horizontal="left" vertical="center" indent="1"/>
      <protection locked="0"/>
    </xf>
    <xf numFmtId="0" fontId="9" fillId="0" borderId="0" xfId="0" applyFont="1" applyAlignment="1">
      <alignment horizontal="left" vertical="top" wrapText="1"/>
    </xf>
    <xf numFmtId="0" fontId="37" fillId="0" borderId="2" xfId="0" applyFont="1" applyBorder="1" applyAlignment="1">
      <alignment vertical="center" wrapText="1"/>
    </xf>
    <xf numFmtId="0" fontId="37" fillId="0" borderId="3" xfId="0" applyFont="1" applyBorder="1" applyAlignment="1">
      <alignment vertical="center" wrapText="1"/>
    </xf>
    <xf numFmtId="0" fontId="37" fillId="0" borderId="20" xfId="0" applyFont="1" applyBorder="1" applyAlignment="1">
      <alignment vertical="center" wrapText="1"/>
    </xf>
    <xf numFmtId="0" fontId="37" fillId="2" borderId="21" xfId="0" applyFont="1" applyFill="1" applyBorder="1" applyAlignment="1">
      <alignment horizontal="center" vertical="top" wrapText="1"/>
    </xf>
    <xf numFmtId="0" fontId="37" fillId="2" borderId="19" xfId="0" applyFont="1" applyFill="1" applyBorder="1" applyAlignment="1">
      <alignment horizontal="center" vertical="top" wrapText="1"/>
    </xf>
    <xf numFmtId="0" fontId="8" fillId="0" borderId="5" xfId="0" applyFont="1" applyBorder="1" applyAlignment="1">
      <alignment horizontal="center" vertical="top" wrapText="1"/>
    </xf>
    <xf numFmtId="0" fontId="37" fillId="0" borderId="6" xfId="0" applyFont="1" applyBorder="1" applyAlignment="1">
      <alignment horizontal="center" vertical="top" wrapText="1"/>
    </xf>
    <xf numFmtId="0" fontId="37" fillId="0" borderId="6" xfId="0" applyFont="1" applyBorder="1" applyAlignment="1">
      <alignment wrapText="1"/>
    </xf>
    <xf numFmtId="0" fontId="37" fillId="0" borderId="7" xfId="0" applyFont="1" applyBorder="1" applyAlignment="1">
      <alignment wrapText="1"/>
    </xf>
    <xf numFmtId="0" fontId="43" fillId="0" borderId="5" xfId="0" applyFont="1" applyBorder="1"/>
    <xf numFmtId="0" fontId="43" fillId="0" borderId="6" xfId="0" applyFont="1" applyBorder="1"/>
    <xf numFmtId="0" fontId="43" fillId="0" borderId="7" xfId="0" applyFont="1" applyBorder="1"/>
    <xf numFmtId="0" fontId="42" fillId="0" borderId="5" xfId="0" applyFont="1" applyBorder="1"/>
    <xf numFmtId="0" fontId="2" fillId="0" borderId="0" xfId="0" applyFont="1" applyAlignment="1">
      <alignment horizontal="left" vertical="top" wrapText="1"/>
    </xf>
    <xf numFmtId="0" fontId="43" fillId="0" borderId="0" xfId="0" applyFont="1" applyAlignment="1">
      <alignment horizontal="left" vertical="top" wrapText="1"/>
    </xf>
    <xf numFmtId="0" fontId="43" fillId="0" borderId="0" xfId="0" applyFont="1" applyAlignment="1">
      <alignment horizontal="left" vertical="center" wrapText="1"/>
    </xf>
    <xf numFmtId="0" fontId="43" fillId="0" borderId="0" xfId="0" applyFont="1" applyAlignment="1">
      <alignment horizontal="left" vertical="center"/>
    </xf>
    <xf numFmtId="0" fontId="43" fillId="0" borderId="0" xfId="0" applyFont="1" applyAlignment="1">
      <alignment horizontal="left"/>
    </xf>
    <xf numFmtId="0" fontId="2" fillId="3" borderId="4" xfId="0" applyFont="1" applyFill="1" applyBorder="1" applyAlignment="1">
      <alignment horizontal="center"/>
    </xf>
    <xf numFmtId="0" fontId="43" fillId="0" borderId="4" xfId="0" applyFont="1" applyBorder="1" applyAlignment="1">
      <alignment vertical="center"/>
    </xf>
    <xf numFmtId="0" fontId="56" fillId="0" borderId="0" xfId="0" applyFont="1" applyAlignment="1">
      <alignment horizontal="left" vertical="center" wrapText="1"/>
    </xf>
    <xf numFmtId="0" fontId="43" fillId="0" borderId="5" xfId="0" applyFont="1" applyBorder="1" applyAlignment="1">
      <alignment horizontal="left" vertical="top" wrapText="1"/>
    </xf>
    <xf numFmtId="0" fontId="43" fillId="0" borderId="6" xfId="0" applyFont="1" applyBorder="1" applyAlignment="1">
      <alignment horizontal="left" vertical="top" wrapText="1"/>
    </xf>
    <xf numFmtId="0" fontId="43" fillId="0" borderId="7" xfId="0" applyFont="1" applyBorder="1" applyAlignment="1">
      <alignment horizontal="left" vertical="top" wrapText="1"/>
    </xf>
    <xf numFmtId="0" fontId="2" fillId="2" borderId="0" xfId="0" applyFont="1" applyFill="1" applyAlignment="1">
      <alignment horizontal="center" vertical="center"/>
    </xf>
    <xf numFmtId="0" fontId="1" fillId="0" borderId="0" xfId="0" applyFont="1" applyAlignment="1">
      <alignment horizontal="center" vertical="center"/>
    </xf>
    <xf numFmtId="0" fontId="2" fillId="0" borderId="0" xfId="0" applyFont="1" applyAlignment="1">
      <alignment horizontal="left" vertical="top"/>
    </xf>
    <xf numFmtId="0" fontId="43" fillId="0" borderId="0" xfId="0" applyFont="1" applyAlignment="1">
      <alignment horizontal="left" vertical="top"/>
    </xf>
    <xf numFmtId="0" fontId="43" fillId="0" borderId="0" xfId="0" applyFont="1" applyAlignment="1">
      <alignment wrapText="1"/>
    </xf>
    <xf numFmtId="0" fontId="1" fillId="0" borderId="0" xfId="1" applyAlignment="1">
      <alignment vertical="top" wrapText="1"/>
    </xf>
    <xf numFmtId="0" fontId="1" fillId="0" borderId="0" xfId="1" applyAlignment="1">
      <alignment horizontal="left" vertical="top"/>
    </xf>
    <xf numFmtId="0" fontId="30" fillId="0" borderId="1" xfId="5" applyBorder="1" applyAlignment="1" applyProtection="1">
      <alignment horizontal="center"/>
      <protection locked="0"/>
    </xf>
    <xf numFmtId="0" fontId="14" fillId="0" borderId="0" xfId="1" applyFont="1" applyAlignment="1">
      <alignment vertical="center" wrapText="1"/>
    </xf>
    <xf numFmtId="0" fontId="6" fillId="0" borderId="0" xfId="1" applyFont="1"/>
    <xf numFmtId="0" fontId="1" fillId="0" borderId="0" xfId="1" applyAlignment="1">
      <alignment horizontal="left" indent="2"/>
    </xf>
    <xf numFmtId="0" fontId="1" fillId="0" borderId="2" xfId="1" applyBorder="1" applyAlignment="1">
      <alignment horizontal="left" indent="2"/>
    </xf>
    <xf numFmtId="0" fontId="34" fillId="0" borderId="2" xfId="1" applyFont="1" applyBorder="1" applyAlignment="1">
      <alignment vertical="top" wrapText="1"/>
    </xf>
    <xf numFmtId="0" fontId="1" fillId="0" borderId="3" xfId="1" applyBorder="1" applyAlignment="1">
      <alignment vertical="top" wrapText="1"/>
    </xf>
    <xf numFmtId="0" fontId="1" fillId="0" borderId="2" xfId="1" applyBorder="1" applyAlignment="1">
      <alignment vertical="top" wrapText="1"/>
    </xf>
    <xf numFmtId="0" fontId="33" fillId="0" borderId="15" xfId="1" applyFont="1" applyBorder="1" applyAlignment="1">
      <alignment vertical="center" wrapText="1"/>
    </xf>
    <xf numFmtId="0" fontId="14" fillId="0" borderId="19" xfId="1" applyFont="1" applyBorder="1" applyAlignment="1">
      <alignment wrapText="1"/>
    </xf>
    <xf numFmtId="0" fontId="14" fillId="0" borderId="7" xfId="1" applyFont="1" applyBorder="1" applyAlignment="1">
      <alignment wrapText="1"/>
    </xf>
    <xf numFmtId="0" fontId="14" fillId="0" borderId="4" xfId="1" applyFont="1" applyBorder="1" applyAlignment="1">
      <alignment wrapText="1"/>
    </xf>
    <xf numFmtId="0" fontId="14" fillId="0" borderId="10" xfId="1" applyFont="1" applyBorder="1" applyAlignment="1">
      <alignment wrapText="1"/>
    </xf>
    <xf numFmtId="0" fontId="14" fillId="0" borderId="21" xfId="1" applyFont="1" applyBorder="1" applyAlignment="1">
      <alignment wrapText="1"/>
    </xf>
    <xf numFmtId="0" fontId="1" fillId="0" borderId="2" xfId="1" applyBorder="1" applyAlignment="1">
      <alignment horizontal="left" vertical="top" wrapText="1"/>
    </xf>
    <xf numFmtId="0" fontId="19" fillId="0" borderId="0" xfId="1" applyFont="1" applyAlignment="1">
      <alignment horizontal="left" vertical="top"/>
    </xf>
    <xf numFmtId="0" fontId="4" fillId="0" borderId="1" xfId="1" applyFont="1" applyBorder="1" applyAlignment="1">
      <alignment horizontal="center" vertical="center"/>
    </xf>
    <xf numFmtId="0" fontId="1" fillId="0" borderId="3" xfId="1" applyBorder="1" applyAlignment="1">
      <alignment horizontal="left" vertical="top" wrapText="1"/>
    </xf>
    <xf numFmtId="0" fontId="1" fillId="0" borderId="20" xfId="1" applyBorder="1" applyAlignment="1">
      <alignment horizontal="left" vertical="top" wrapText="1"/>
    </xf>
    <xf numFmtId="49" fontId="1" fillId="0" borderId="1" xfId="1" applyNumberFormat="1" applyBorder="1" applyAlignment="1" applyProtection="1">
      <alignment horizontal="left" wrapText="1"/>
      <protection locked="0"/>
    </xf>
    <xf numFmtId="0" fontId="1" fillId="0" borderId="0" xfId="1" applyAlignment="1">
      <alignment horizontal="left" vertical="center"/>
    </xf>
    <xf numFmtId="0" fontId="1" fillId="0" borderId="0" xfId="1" applyAlignment="1">
      <alignment horizontal="left" vertical="center" wrapText="1" indent="3"/>
    </xf>
    <xf numFmtId="0" fontId="1" fillId="0" borderId="5" xfId="1" applyBorder="1" applyAlignment="1" applyProtection="1">
      <alignment horizontal="center" vertical="center"/>
      <protection locked="0"/>
    </xf>
    <xf numFmtId="0" fontId="1" fillId="0" borderId="7" xfId="1" applyBorder="1" applyAlignment="1" applyProtection="1">
      <alignment horizontal="center" vertical="center"/>
      <protection locked="0"/>
    </xf>
    <xf numFmtId="0" fontId="46" fillId="0" borderId="0" xfId="1" applyFont="1" applyAlignment="1">
      <alignment vertical="top" wrapText="1"/>
    </xf>
    <xf numFmtId="0" fontId="4" fillId="0" borderId="0" xfId="1" applyFont="1" applyAlignment="1">
      <alignment horizontal="center" vertical="center"/>
    </xf>
    <xf numFmtId="0" fontId="1" fillId="0" borderId="4" xfId="1" applyBorder="1" applyAlignment="1" applyProtection="1">
      <alignment horizontal="center" vertical="center"/>
      <protection locked="0"/>
    </xf>
    <xf numFmtId="0" fontId="1" fillId="0" borderId="21" xfId="1" applyBorder="1" applyAlignment="1" applyProtection="1">
      <alignment horizontal="center" vertical="center" wrapText="1"/>
      <protection locked="0"/>
    </xf>
    <xf numFmtId="0" fontId="1" fillId="0" borderId="3" xfId="1" applyBorder="1" applyAlignment="1" applyProtection="1">
      <alignment horizontal="center" vertical="center" wrapText="1"/>
      <protection locked="0"/>
    </xf>
    <xf numFmtId="0" fontId="1" fillId="0" borderId="19" xfId="1" applyBorder="1" applyAlignment="1" applyProtection="1">
      <alignment horizontal="center" vertical="center" wrapText="1"/>
      <protection locked="0"/>
    </xf>
    <xf numFmtId="0" fontId="1" fillId="0" borderId="4" xfId="1" applyBorder="1" applyAlignment="1" applyProtection="1">
      <alignment horizontal="center" vertical="center" wrapText="1"/>
      <protection locked="0"/>
    </xf>
    <xf numFmtId="0" fontId="1" fillId="0" borderId="21" xfId="1" applyBorder="1" applyAlignment="1" applyProtection="1">
      <alignment horizontal="center" vertical="center"/>
      <protection locked="0"/>
    </xf>
    <xf numFmtId="0" fontId="1" fillId="0" borderId="3" xfId="1" applyBorder="1" applyAlignment="1" applyProtection="1">
      <alignment horizontal="center" vertical="center"/>
      <protection locked="0"/>
    </xf>
    <xf numFmtId="0" fontId="1" fillId="0" borderId="19" xfId="1" applyBorder="1" applyAlignment="1" applyProtection="1">
      <alignment horizontal="center" vertical="center"/>
      <protection locked="0"/>
    </xf>
    <xf numFmtId="0" fontId="14" fillId="0" borderId="1" xfId="1" applyFont="1" applyBorder="1" applyAlignment="1" applyProtection="1">
      <alignment horizontal="left" wrapText="1"/>
      <protection locked="0"/>
    </xf>
    <xf numFmtId="0" fontId="1" fillId="0" borderId="1" xfId="1" applyBorder="1" applyProtection="1">
      <protection locked="0"/>
    </xf>
    <xf numFmtId="0" fontId="1" fillId="0" borderId="5" xfId="1" applyBorder="1" applyAlignment="1" applyProtection="1">
      <alignment horizontal="center" vertical="center" wrapText="1"/>
      <protection locked="0"/>
    </xf>
    <xf numFmtId="0" fontId="1" fillId="0" borderId="7" xfId="1" applyBorder="1" applyAlignment="1" applyProtection="1">
      <alignment horizontal="center" vertical="center" wrapText="1"/>
      <protection locked="0"/>
    </xf>
    <xf numFmtId="0" fontId="4" fillId="0" borderId="0" xfId="1" applyFont="1" applyAlignment="1">
      <alignment horizontal="left" vertical="top" wrapText="1"/>
    </xf>
    <xf numFmtId="0" fontId="35" fillId="3" borderId="5" xfId="1" applyFont="1" applyFill="1" applyBorder="1" applyAlignment="1">
      <alignment horizontal="center" vertical="center" wrapText="1"/>
    </xf>
    <xf numFmtId="0" fontId="35" fillId="3" borderId="7" xfId="1" applyFont="1" applyFill="1" applyBorder="1" applyAlignment="1">
      <alignment horizontal="center" vertical="center" wrapText="1"/>
    </xf>
    <xf numFmtId="0" fontId="4" fillId="0" borderId="1" xfId="1" applyFont="1" applyBorder="1" applyAlignment="1">
      <alignment horizontal="left" vertical="top" wrapText="1"/>
    </xf>
    <xf numFmtId="0" fontId="1" fillId="0" borderId="1" xfId="1" applyBorder="1" applyAlignment="1">
      <alignment horizontal="left" vertical="top" wrapText="1"/>
    </xf>
    <xf numFmtId="0" fontId="1" fillId="0" borderId="1" xfId="1" applyBorder="1" applyAlignment="1">
      <alignment wrapText="1"/>
    </xf>
    <xf numFmtId="0" fontId="55" fillId="0" borderId="1" xfId="1" applyFont="1" applyBorder="1" applyAlignment="1">
      <alignment horizontal="left" vertical="top" wrapText="1"/>
    </xf>
    <xf numFmtId="0" fontId="55" fillId="0" borderId="1" xfId="1" applyFont="1" applyBorder="1" applyAlignment="1">
      <alignment wrapText="1"/>
    </xf>
    <xf numFmtId="0" fontId="1" fillId="3" borderId="4" xfId="1" applyFill="1" applyBorder="1"/>
    <xf numFmtId="0" fontId="1" fillId="0" borderId="4" xfId="1" applyBorder="1" applyAlignment="1">
      <alignment horizontal="left" vertical="top" wrapText="1"/>
    </xf>
    <xf numFmtId="0" fontId="1" fillId="0" borderId="4" xfId="1" applyBorder="1"/>
    <xf numFmtId="0" fontId="6" fillId="0" borderId="0" xfId="1" applyFont="1" applyAlignment="1">
      <alignment horizontal="left" vertical="top" wrapText="1"/>
    </xf>
    <xf numFmtId="0" fontId="5" fillId="0" borderId="0" xfId="1" applyFont="1" applyAlignment="1">
      <alignment horizontal="left" vertical="top" wrapText="1"/>
    </xf>
    <xf numFmtId="0" fontId="1" fillId="0" borderId="0" xfId="1" applyAlignment="1">
      <alignment horizontal="left" vertical="top" wrapText="1" indent="3"/>
    </xf>
    <xf numFmtId="0" fontId="46" fillId="0" borderId="0" xfId="1" applyFont="1" applyAlignment="1">
      <alignment horizontal="center" vertical="top" wrapText="1"/>
    </xf>
    <xf numFmtId="170" fontId="1" fillId="0" borderId="1" xfId="1" applyNumberFormat="1" applyBorder="1" applyAlignment="1" applyProtection="1">
      <alignment horizontal="left" wrapText="1"/>
      <protection locked="0"/>
    </xf>
    <xf numFmtId="0" fontId="5" fillId="4" borderId="2" xfId="1" applyFont="1" applyFill="1" applyBorder="1" applyAlignment="1">
      <alignment horizontal="left" vertical="top" wrapText="1"/>
    </xf>
    <xf numFmtId="0" fontId="1" fillId="4" borderId="3" xfId="1" applyFill="1" applyBorder="1" applyAlignment="1">
      <alignment horizontal="left" vertical="top" wrapText="1"/>
    </xf>
    <xf numFmtId="0" fontId="1" fillId="0" borderId="0" xfId="1" applyAlignment="1">
      <alignment horizontal="left" vertical="top" wrapText="1" indent="2"/>
    </xf>
    <xf numFmtId="0" fontId="1" fillId="0" borderId="0" xfId="1" applyAlignment="1">
      <alignment horizontal="left"/>
    </xf>
    <xf numFmtId="14" fontId="1" fillId="0" borderId="1" xfId="1" applyNumberFormat="1" applyBorder="1" applyAlignment="1">
      <alignment horizontal="left" wrapText="1"/>
    </xf>
    <xf numFmtId="0" fontId="55" fillId="0" borderId="0" xfId="1" applyFont="1" applyAlignment="1">
      <alignment horizontal="left" vertical="top" wrapText="1"/>
    </xf>
    <xf numFmtId="0" fontId="3" fillId="0" borderId="0" xfId="1" applyFont="1" applyAlignment="1">
      <alignment horizontal="left" vertical="top"/>
    </xf>
    <xf numFmtId="0" fontId="6" fillId="0" borderId="0" xfId="1" applyFont="1" applyAlignment="1">
      <alignment horizontal="left" vertical="top" wrapText="1" indent="3"/>
    </xf>
    <xf numFmtId="0" fontId="7" fillId="0" borderId="0" xfId="1" applyFont="1" applyAlignment="1">
      <alignment horizontal="left" vertical="top" wrapText="1"/>
    </xf>
    <xf numFmtId="0" fontId="8" fillId="0" borderId="0" xfId="1" applyFont="1" applyAlignment="1">
      <alignment horizontal="left" vertical="top" wrapText="1"/>
    </xf>
    <xf numFmtId="0" fontId="9" fillId="0" borderId="0" xfId="1" applyFont="1" applyAlignment="1">
      <alignment horizontal="left" vertical="top" wrapText="1"/>
    </xf>
    <xf numFmtId="0" fontId="5" fillId="0" borderId="0" xfId="1" applyFont="1" applyAlignment="1">
      <alignment horizontal="center" vertical="top" wrapText="1"/>
    </xf>
    <xf numFmtId="0" fontId="1" fillId="3" borderId="5" xfId="1" applyFill="1" applyBorder="1"/>
    <xf numFmtId="0" fontId="1" fillId="3" borderId="6" xfId="1" applyFill="1" applyBorder="1"/>
    <xf numFmtId="0" fontId="1" fillId="3" borderId="7" xfId="1" applyFill="1" applyBorder="1"/>
    <xf numFmtId="0" fontId="4" fillId="0" borderId="5" xfId="1" applyFont="1" applyBorder="1" applyAlignment="1">
      <alignment horizontal="left" vertical="top" wrapText="1" indent="2"/>
    </xf>
    <xf numFmtId="0" fontId="4" fillId="0" borderId="6" xfId="1" applyFont="1" applyBorder="1" applyAlignment="1">
      <alignment horizontal="left" vertical="top" wrapText="1" indent="2"/>
    </xf>
    <xf numFmtId="0" fontId="4" fillId="0" borderId="7" xfId="1" applyFont="1" applyBorder="1" applyAlignment="1">
      <alignment horizontal="left" vertical="top" wrapText="1" indent="2"/>
    </xf>
    <xf numFmtId="0" fontId="1" fillId="0" borderId="5" xfId="1" applyBorder="1" applyAlignment="1">
      <alignment horizontal="left" vertical="top" wrapText="1" indent="2"/>
    </xf>
    <xf numFmtId="0" fontId="1" fillId="0" borderId="6" xfId="1" applyBorder="1" applyAlignment="1">
      <alignment horizontal="left" vertical="top" wrapText="1" indent="2"/>
    </xf>
    <xf numFmtId="0" fontId="1" fillId="0" borderId="7" xfId="1" applyBorder="1" applyAlignment="1">
      <alignment horizontal="left" vertical="top" wrapText="1" indent="2"/>
    </xf>
    <xf numFmtId="0" fontId="4" fillId="0" borderId="5" xfId="1" applyFont="1" applyBorder="1" applyAlignment="1">
      <alignment horizontal="left" vertical="top" wrapText="1"/>
    </xf>
    <xf numFmtId="0" fontId="4" fillId="0" borderId="6" xfId="1" applyFont="1" applyBorder="1" applyAlignment="1">
      <alignment horizontal="left" vertical="top" wrapText="1"/>
    </xf>
    <xf numFmtId="0" fontId="4" fillId="0" borderId="7" xfId="1" applyFont="1" applyBorder="1" applyAlignment="1">
      <alignment horizontal="left" vertical="top" wrapText="1"/>
    </xf>
    <xf numFmtId="0" fontId="5" fillId="0" borderId="2" xfId="1" applyFont="1" applyBorder="1" applyAlignment="1">
      <alignment horizontal="left" vertical="top" wrapText="1"/>
    </xf>
    <xf numFmtId="0" fontId="1" fillId="0" borderId="0" xfId="1" applyAlignment="1">
      <alignment horizontal="left" vertical="center" indent="1"/>
    </xf>
    <xf numFmtId="0" fontId="1" fillId="0" borderId="0" xfId="1" applyAlignment="1">
      <alignment horizontal="left" vertical="top" indent="1"/>
    </xf>
    <xf numFmtId="0" fontId="12" fillId="0" borderId="0" xfId="1" applyFont="1" applyAlignment="1">
      <alignment horizontal="left" vertical="top" wrapText="1"/>
    </xf>
    <xf numFmtId="0" fontId="1" fillId="0" borderId="5" xfId="1" applyBorder="1" applyAlignment="1">
      <alignment horizontal="left" vertical="top" wrapText="1"/>
    </xf>
    <xf numFmtId="0" fontId="1" fillId="0" borderId="6" xfId="1" applyBorder="1" applyAlignment="1">
      <alignment horizontal="left" vertical="top" wrapText="1"/>
    </xf>
    <xf numFmtId="0" fontId="1" fillId="0" borderId="7" xfId="1" applyBorder="1" applyAlignment="1">
      <alignment horizontal="left" vertical="top" wrapText="1"/>
    </xf>
    <xf numFmtId="0" fontId="5" fillId="0" borderId="0" xfId="1" applyFont="1" applyAlignment="1">
      <alignment horizontal="left" wrapText="1"/>
    </xf>
    <xf numFmtId="0" fontId="6" fillId="0" borderId="0" xfId="1" applyFont="1" applyAlignment="1">
      <alignment horizontal="left" wrapText="1"/>
    </xf>
    <xf numFmtId="0" fontId="7" fillId="0" borderId="1" xfId="1" applyFont="1" applyBorder="1" applyAlignment="1">
      <alignment horizontal="left" vertical="top" wrapText="1"/>
    </xf>
    <xf numFmtId="0" fontId="6" fillId="0" borderId="0" xfId="1" applyFont="1" applyAlignment="1">
      <alignment wrapText="1"/>
    </xf>
    <xf numFmtId="0" fontId="4" fillId="0" borderId="2" xfId="1" applyFont="1" applyBorder="1" applyAlignment="1">
      <alignment horizontal="center" vertical="center"/>
    </xf>
    <xf numFmtId="0" fontId="4" fillId="3" borderId="9" xfId="1" applyFont="1" applyFill="1" applyBorder="1" applyAlignment="1">
      <alignment horizontal="center" vertical="center" wrapText="1"/>
    </xf>
    <xf numFmtId="0" fontId="4" fillId="3" borderId="10" xfId="1" applyFont="1" applyFill="1" applyBorder="1" applyAlignment="1">
      <alignment horizontal="center" vertical="center" wrapText="1"/>
    </xf>
    <xf numFmtId="0" fontId="4" fillId="3" borderId="14" xfId="1" applyFont="1" applyFill="1" applyBorder="1" applyAlignment="1">
      <alignment horizontal="center" vertical="center" wrapText="1"/>
    </xf>
    <xf numFmtId="0" fontId="4" fillId="3" borderId="15" xfId="1" applyFont="1" applyFill="1" applyBorder="1" applyAlignment="1">
      <alignment horizontal="center" vertical="center" wrapText="1"/>
    </xf>
    <xf numFmtId="0" fontId="4" fillId="3" borderId="11" xfId="1" applyFont="1" applyFill="1" applyBorder="1" applyAlignment="1">
      <alignment horizontal="center" vertical="center" wrapText="1"/>
    </xf>
    <xf numFmtId="0" fontId="4" fillId="3" borderId="16" xfId="1" applyFont="1" applyFill="1" applyBorder="1" applyAlignment="1">
      <alignment horizontal="center" vertical="center" wrapText="1"/>
    </xf>
    <xf numFmtId="0" fontId="4" fillId="3" borderId="12" xfId="1" applyFont="1" applyFill="1" applyBorder="1" applyAlignment="1">
      <alignment horizontal="center" vertical="center" wrapText="1"/>
    </xf>
    <xf numFmtId="0" fontId="4" fillId="3" borderId="17" xfId="1" applyFont="1" applyFill="1" applyBorder="1" applyAlignment="1">
      <alignment horizontal="center" vertical="center" wrapText="1"/>
    </xf>
    <xf numFmtId="0" fontId="4" fillId="3" borderId="13" xfId="1" applyFont="1" applyFill="1" applyBorder="1" applyAlignment="1">
      <alignment horizontal="center" vertical="center" wrapText="1"/>
    </xf>
    <xf numFmtId="0" fontId="4" fillId="3" borderId="18" xfId="1" applyFont="1" applyFill="1" applyBorder="1" applyAlignment="1">
      <alignment horizontal="center" vertical="center" wrapText="1"/>
    </xf>
    <xf numFmtId="0" fontId="4" fillId="0" borderId="2" xfId="1" applyFont="1" applyBorder="1" applyAlignment="1">
      <alignment horizontal="left" vertical="top" wrapText="1"/>
    </xf>
    <xf numFmtId="0" fontId="18" fillId="0" borderId="0" xfId="1" applyFont="1" applyAlignment="1">
      <alignment horizontal="left" vertical="center" wrapText="1"/>
    </xf>
    <xf numFmtId="0" fontId="18" fillId="0" borderId="8" xfId="1" applyFont="1" applyBorder="1" applyAlignment="1">
      <alignment horizontal="left" vertical="center" wrapText="1"/>
    </xf>
    <xf numFmtId="0" fontId="1" fillId="0" borderId="0" xfId="1" applyAlignment="1">
      <alignment horizontal="left" indent="1"/>
    </xf>
    <xf numFmtId="0" fontId="19" fillId="0" borderId="0" xfId="1" applyFont="1" applyAlignment="1">
      <alignment horizontal="left" vertical="top" wrapText="1"/>
    </xf>
    <xf numFmtId="0" fontId="1" fillId="0" borderId="4" xfId="1" applyBorder="1" applyAlignment="1">
      <alignment horizontal="left" vertical="top"/>
    </xf>
    <xf numFmtId="0" fontId="4" fillId="0" borderId="0" xfId="1" applyFont="1" applyAlignment="1">
      <alignment horizontal="left" vertical="top"/>
    </xf>
    <xf numFmtId="0" fontId="1" fillId="0" borderId="1" xfId="1" applyBorder="1" applyAlignment="1">
      <alignment horizontal="left" wrapText="1"/>
    </xf>
    <xf numFmtId="0" fontId="1" fillId="0" borderId="4" xfId="1" applyBorder="1" applyAlignment="1" applyProtection="1">
      <alignment horizontal="left" vertical="top" wrapText="1"/>
      <protection locked="0"/>
    </xf>
    <xf numFmtId="0" fontId="4" fillId="0" borderId="5" xfId="1" applyFont="1" applyBorder="1" applyAlignment="1">
      <alignment horizontal="center" vertical="center" wrapText="1"/>
    </xf>
    <xf numFmtId="0" fontId="4" fillId="0" borderId="7" xfId="1" applyFont="1" applyBorder="1" applyAlignment="1">
      <alignment horizontal="center" vertical="center" wrapText="1"/>
    </xf>
    <xf numFmtId="0" fontId="4" fillId="0" borderId="0" xfId="1" applyFont="1" applyAlignment="1">
      <alignment horizontal="left" vertical="center"/>
    </xf>
    <xf numFmtId="0" fontId="4" fillId="0" borderId="1" xfId="1" applyFont="1" applyBorder="1" applyAlignment="1">
      <alignment horizontal="left" vertical="center"/>
    </xf>
    <xf numFmtId="0" fontId="4" fillId="0" borderId="14" xfId="1" applyFont="1" applyBorder="1" applyAlignment="1">
      <alignment horizontal="center" vertical="center" wrapText="1"/>
    </xf>
    <xf numFmtId="0" fontId="4" fillId="0" borderId="15" xfId="1" applyFont="1" applyBorder="1" applyAlignment="1">
      <alignment horizontal="center" vertical="center" wrapText="1"/>
    </xf>
    <xf numFmtId="0" fontId="22" fillId="0" borderId="0" xfId="1" applyFont="1" applyAlignment="1">
      <alignment horizontal="left" vertical="top" wrapText="1"/>
    </xf>
    <xf numFmtId="0" fontId="1" fillId="0" borderId="4" xfId="1" applyBorder="1" applyAlignment="1">
      <alignment vertical="top"/>
    </xf>
    <xf numFmtId="0" fontId="14" fillId="0" borderId="4" xfId="1" applyFont="1" applyBorder="1" applyAlignment="1">
      <alignment vertical="top" wrapText="1"/>
    </xf>
    <xf numFmtId="0" fontId="23" fillId="0" borderId="0" xfId="1" applyFont="1" applyAlignment="1">
      <alignment horizontal="left" vertical="top" wrapText="1"/>
    </xf>
    <xf numFmtId="0" fontId="14" fillId="0" borderId="0" xfId="1" applyFont="1" applyAlignment="1">
      <alignment horizontal="left" vertical="top" wrapText="1"/>
    </xf>
    <xf numFmtId="0" fontId="55" fillId="0" borderId="0" xfId="1" applyFont="1" applyAlignment="1">
      <alignment vertical="top" wrapText="1"/>
    </xf>
    <xf numFmtId="0" fontId="14" fillId="0" borderId="15" xfId="1" applyFont="1" applyBorder="1" applyAlignment="1">
      <alignment vertical="top" wrapText="1"/>
    </xf>
    <xf numFmtId="0" fontId="14" fillId="0" borderId="19" xfId="1" applyFont="1" applyBorder="1" applyAlignment="1">
      <alignment vertical="top" wrapText="1"/>
    </xf>
    <xf numFmtId="0" fontId="14" fillId="0" borderId="14" xfId="1" applyFont="1" applyBorder="1" applyAlignment="1">
      <alignment vertical="top" wrapText="1"/>
    </xf>
    <xf numFmtId="0" fontId="14" fillId="0" borderId="4" xfId="1" applyFont="1" applyBorder="1" applyAlignment="1">
      <alignment vertical="center" wrapText="1"/>
    </xf>
    <xf numFmtId="0" fontId="2" fillId="6" borderId="0" xfId="1" applyFont="1" applyFill="1" applyAlignment="1">
      <alignment horizontal="center" vertical="center"/>
    </xf>
  </cellXfs>
  <cellStyles count="6">
    <cellStyle name="Comma 2" xfId="4" xr:uid="{00000000-0005-0000-0000-000000000000}"/>
    <cellStyle name="Currency 2" xfId="3" xr:uid="{00000000-0005-0000-0000-000001000000}"/>
    <cellStyle name="Hyperlink" xfId="5" builtinId="8"/>
    <cellStyle name="Normal" xfId="0" builtinId="0"/>
    <cellStyle name="Normal 2" xfId="1" xr:uid="{00000000-0005-0000-0000-000004000000}"/>
    <cellStyle name="Percent 2" xfId="2" xr:uid="{00000000-0005-0000-0000-000005000000}"/>
  </cellStyles>
  <dxfs count="2">
    <dxf>
      <font>
        <color rgb="FF9C0006"/>
      </font>
      <fill>
        <patternFill>
          <bgColor rgb="FFFFC7CE"/>
        </patternFill>
      </fill>
    </dxf>
    <dxf>
      <fill>
        <patternFill>
          <bgColor theme="7"/>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Radio" firstButton="1" fmlaLink="$C$54" lockText="1" noThreeD="1"/>
</file>

<file path=xl/ctrlProps/ctrlProp2.xml><?xml version="1.0" encoding="utf-8"?>
<formControlPr xmlns="http://schemas.microsoft.com/office/spreadsheetml/2009/9/main" objectType="Radio" checked="Checked"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CheckBox" fmlaLink="$C$79" lockText="1" noThreeD="1"/>
</file>

<file path=xl/ctrlProps/ctrlProp5.xml><?xml version="1.0" encoding="utf-8"?>
<formControlPr xmlns="http://schemas.microsoft.com/office/spreadsheetml/2009/9/main" objectType="CheckBox" fmlaLink="$C$83" lockText="1" noThreeD="1"/>
</file>

<file path=xl/ctrlProps/ctrlProp6.xml><?xml version="1.0" encoding="utf-8"?>
<formControlPr xmlns="http://schemas.microsoft.com/office/spreadsheetml/2009/9/main" objectType="CheckBox" checked="Checked" fmlaLink="$C$84" lockText="1" noThreeD="1"/>
</file>

<file path=xl/ctrlProps/ctrlProp7.xml><?xml version="1.0" encoding="utf-8"?>
<formControlPr xmlns="http://schemas.microsoft.com/office/spreadsheetml/2009/9/main" objectType="CheckBox" fmlaLink="$C$85" lockText="1" noThreeD="1"/>
</file>

<file path=xl/ctrlProps/ctrlProp8.xml><?xml version="1.0" encoding="utf-8"?>
<formControlPr xmlns="http://schemas.microsoft.com/office/spreadsheetml/2009/9/main" objectType="CheckBox" fmlaLink="$C$86" lockText="1" noThreeD="1"/>
</file>

<file path=xl/ctrlProps/ctrlProp9.xml><?xml version="1.0" encoding="utf-8"?>
<formControlPr xmlns="http://schemas.microsoft.com/office/spreadsheetml/2009/9/main" objectType="CheckBox" fmlaLink="$C$87" lockText="1" noThreeD="1"/>
</file>

<file path=xl/ctrlProps/ctrlProp10.xml><?xml version="1.0" encoding="utf-8"?>
<formControlPr xmlns="http://schemas.microsoft.com/office/spreadsheetml/2009/9/main" objectType="CheckBox" fmlaLink="$C$88" lockText="1" noThreeD="1"/>
</file>

<file path=xl/ctrlProps/ctrlProp11.xml><?xml version="1.0" encoding="utf-8"?>
<formControlPr xmlns="http://schemas.microsoft.com/office/spreadsheetml/2009/9/main" objectType="CheckBox" fmlaLink="$C$89" lockText="1" noThreeD="1"/>
</file>

<file path=xl/ctrlProps/ctrlProp12.xml><?xml version="1.0" encoding="utf-8"?>
<formControlPr xmlns="http://schemas.microsoft.com/office/spreadsheetml/2009/9/main" objectType="CheckBox" fmlaLink="$C$90" lockText="1" noThreeD="1"/>
</file>

<file path=xl/ctrlProps/ctrlProp13.xml><?xml version="1.0" encoding="utf-8"?>
<formControlPr xmlns="http://schemas.microsoft.com/office/spreadsheetml/2009/9/main" objectType="CheckBox" fmlaLink="$C$80" lockText="1" noThreeD="1"/>
</file>

<file path=xl/ctrlProps/ctrlProp14.xml><?xml version="1.0" encoding="utf-8"?>
<formControlPr xmlns="http://schemas.microsoft.com/office/spreadsheetml/2009/9/main" objectType="CheckBox" fmlaLink="$C$81" lockText="1" noThreeD="1"/>
</file>

<file path=xl/ctrlProps/ctrlProp15.xml><?xml version="1.0" encoding="utf-8"?>
<formControlPr xmlns="http://schemas.microsoft.com/office/spreadsheetml/2009/9/main" objectType="CheckBox" fmlaLink="$C$82" lockText="1" noThreeD="1"/>
</file>

<file path=xl/ctrlProps/ctrlProp16.xml><?xml version="1.0" encoding="utf-8"?>
<formControlPr xmlns="http://schemas.microsoft.com/office/spreadsheetml/2009/9/main" objectType="GBox" noThreeD="1"/>
</file>

<file path=xl/ctrlProps/ctrlProp17.xml><?xml version="1.0" encoding="utf-8"?>
<formControlPr xmlns="http://schemas.microsoft.com/office/spreadsheetml/2009/9/main" objectType="Radio" checked="Checked" firstButton="1" fmlaLink="$C$60"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GBox" noThreeD="1"/>
</file>

<file path=xl/ctrlProps/ctrlProp21.xml><?xml version="1.0" encoding="utf-8"?>
<formControlPr xmlns="http://schemas.microsoft.com/office/spreadsheetml/2009/9/main" objectType="Radio" checked="Checked" firstButton="1" fmlaLink="$C$66" lockText="1" noThreeD="1"/>
</file>

<file path=xl/ctrlProps/ctrlProp22.xml><?xml version="1.0" encoding="utf-8"?>
<formControlPr xmlns="http://schemas.microsoft.com/office/spreadsheetml/2009/9/main" objectType="Radio" lockText="1" noThreeD="1"/>
</file>

<file path=xl/ctrlProps/ctrlProp23.xml><?xml version="1.0" encoding="utf-8"?>
<formControlPr xmlns="http://schemas.microsoft.com/office/spreadsheetml/2009/9/main" objectType="Radio"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Radio"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Drop" dropStyle="combo" dx="15" fmlaLink="G60" fmlaRange="F60:F62" noThreeD="1" sel="1" val="0"/>
</file>

<file path=xl/ctrlProps/ctrlProp29.xml><?xml version="1.0" encoding="utf-8"?>
<formControlPr xmlns="http://schemas.microsoft.com/office/spreadsheetml/2009/9/main" objectType="Drop" dropStyle="combo" dx="15" fmlaLink="G52" fmlaRange="F52:F54" noThreeD="1" sel="1" val="0"/>
</file>

<file path=xl/ctrlProps/ctrlProp30.xml><?xml version="1.0" encoding="utf-8"?>
<formControlPr xmlns="http://schemas.microsoft.com/office/spreadsheetml/2009/9/main" objectType="CheckBox" fmlaLink="F132" lockText="1" noThreeD="1"/>
</file>

<file path=xl/ctrlProps/ctrlProp31.xml><?xml version="1.0" encoding="utf-8"?>
<formControlPr xmlns="http://schemas.microsoft.com/office/spreadsheetml/2009/9/main" objectType="CheckBox" fmlaLink="G132" lockText="1" noThreeD="1"/>
</file>

<file path=xl/ctrlProps/ctrlProp32.xml><?xml version="1.0" encoding="utf-8"?>
<formControlPr xmlns="http://schemas.microsoft.com/office/spreadsheetml/2009/9/main" objectType="CheckBox" fmlaLink="F133" lockText="1" noThreeD="1"/>
</file>

<file path=xl/ctrlProps/ctrlProp33.xml><?xml version="1.0" encoding="utf-8"?>
<formControlPr xmlns="http://schemas.microsoft.com/office/spreadsheetml/2009/9/main" objectType="CheckBox" fmlaLink="G133" lockText="1" noThreeD="1"/>
</file>

<file path=xl/ctrlProps/ctrlProp34.xml><?xml version="1.0" encoding="utf-8"?>
<formControlPr xmlns="http://schemas.microsoft.com/office/spreadsheetml/2009/9/main" objectType="CheckBox" fmlaLink="F134" lockText="1" noThreeD="1"/>
</file>

<file path=xl/ctrlProps/ctrlProp35.xml><?xml version="1.0" encoding="utf-8"?>
<formControlPr xmlns="http://schemas.microsoft.com/office/spreadsheetml/2009/9/main" objectType="CheckBox" fmlaLink="G134" lockText="1" noThreeD="1"/>
</file>

<file path=xl/ctrlProps/ctrlProp36.xml><?xml version="1.0" encoding="utf-8"?>
<formControlPr xmlns="http://schemas.microsoft.com/office/spreadsheetml/2009/9/main" objectType="CheckBox" fmlaLink="F135" lockText="1" noThreeD="1"/>
</file>

<file path=xl/ctrlProps/ctrlProp37.xml><?xml version="1.0" encoding="utf-8"?>
<formControlPr xmlns="http://schemas.microsoft.com/office/spreadsheetml/2009/9/main" objectType="CheckBox" fmlaLink="G135" lockText="1" noThreeD="1"/>
</file>

<file path=xl/ctrlProps/ctrlProp38.xml><?xml version="1.0" encoding="utf-8"?>
<formControlPr xmlns="http://schemas.microsoft.com/office/spreadsheetml/2009/9/main" objectType="CheckBox" fmlaLink="F136" lockText="1" noThreeD="1"/>
</file>

<file path=xl/ctrlProps/ctrlProp39.xml><?xml version="1.0" encoding="utf-8"?>
<formControlPr xmlns="http://schemas.microsoft.com/office/spreadsheetml/2009/9/main" objectType="CheckBox" fmlaLink="G136" lockText="1" noThreeD="1"/>
</file>

<file path=xl/ctrlProps/ctrlProp40.xml><?xml version="1.0" encoding="utf-8"?>
<formControlPr xmlns="http://schemas.microsoft.com/office/spreadsheetml/2009/9/main" objectType="CheckBox" fmlaLink="F137" lockText="1" noThreeD="1"/>
</file>

<file path=xl/ctrlProps/ctrlProp41.xml><?xml version="1.0" encoding="utf-8"?>
<formControlPr xmlns="http://schemas.microsoft.com/office/spreadsheetml/2009/9/main" objectType="CheckBox" fmlaLink="G137" lockText="1" noThreeD="1"/>
</file>

<file path=xl/ctrlProps/ctrlProp42.xml><?xml version="1.0" encoding="utf-8"?>
<formControlPr xmlns="http://schemas.microsoft.com/office/spreadsheetml/2009/9/main" objectType="CheckBox" checked="Checked" fmlaLink="F138" lockText="1" noThreeD="1"/>
</file>

<file path=xl/ctrlProps/ctrlProp43.xml><?xml version="1.0" encoding="utf-8"?>
<formControlPr xmlns="http://schemas.microsoft.com/office/spreadsheetml/2009/9/main" objectType="CheckBox" checked="Checked" fmlaLink="G138" lockText="1" noThreeD="1"/>
</file>

<file path=xl/ctrlProps/ctrlProp44.xml><?xml version="1.0" encoding="utf-8"?>
<formControlPr xmlns="http://schemas.microsoft.com/office/spreadsheetml/2009/9/main" objectType="CheckBox" fmlaLink="$J$110" lockText="1" noThreeD="1"/>
</file>

<file path=xl/ctrlProps/ctrlProp45.xml><?xml version="1.0" encoding="utf-8"?>
<formControlPr xmlns="http://schemas.microsoft.com/office/spreadsheetml/2009/9/main" objectType="CheckBox" fmlaLink="$J$111" lockText="1" noThreeD="1"/>
</file>

<file path=xl/ctrlProps/ctrlProp46.xml><?xml version="1.0" encoding="utf-8"?>
<formControlPr xmlns="http://schemas.microsoft.com/office/spreadsheetml/2009/9/main" objectType="CheckBox" fmlaLink="$J$112" lockText="1" noThreeD="1"/>
</file>

<file path=xl/ctrlProps/ctrlProp47.xml><?xml version="1.0" encoding="utf-8"?>
<formControlPr xmlns="http://schemas.microsoft.com/office/spreadsheetml/2009/9/main" objectType="CheckBox" fmlaLink="$J$113" lockText="1" noThreeD="1"/>
</file>

<file path=xl/ctrlProps/ctrlProp48.xml><?xml version="1.0" encoding="utf-8"?>
<formControlPr xmlns="http://schemas.microsoft.com/office/spreadsheetml/2009/9/main" objectType="CheckBox" fmlaLink="$J$114" lockText="1" noThreeD="1"/>
</file>

<file path=xl/ctrlProps/ctrlProp49.xml><?xml version="1.0" encoding="utf-8"?>
<formControlPr xmlns="http://schemas.microsoft.com/office/spreadsheetml/2009/9/main" objectType="CheckBox" fmlaLink="$K$110" lockText="1" noThreeD="1"/>
</file>

<file path=xl/ctrlProps/ctrlProp50.xml><?xml version="1.0" encoding="utf-8"?>
<formControlPr xmlns="http://schemas.microsoft.com/office/spreadsheetml/2009/9/main" objectType="CheckBox" fmlaLink="$K$111" lockText="1" noThreeD="1"/>
</file>

<file path=xl/ctrlProps/ctrlProp51.xml><?xml version="1.0" encoding="utf-8"?>
<formControlPr xmlns="http://schemas.microsoft.com/office/spreadsheetml/2009/9/main" objectType="CheckBox" fmlaLink="$K$112" lockText="1" noThreeD="1"/>
</file>

<file path=xl/ctrlProps/ctrlProp52.xml><?xml version="1.0" encoding="utf-8"?>
<formControlPr xmlns="http://schemas.microsoft.com/office/spreadsheetml/2009/9/main" objectType="CheckBox" fmlaLink="$K$113" lockText="1" noThreeD="1"/>
</file>

<file path=xl/ctrlProps/ctrlProp53.xml><?xml version="1.0" encoding="utf-8"?>
<formControlPr xmlns="http://schemas.microsoft.com/office/spreadsheetml/2009/9/main" objectType="CheckBox" fmlaLink="$K$114" lockText="1" noThreeD="1"/>
</file>

<file path=xl/ctrlProps/ctrlProp54.xml><?xml version="1.0" encoding="utf-8"?>
<formControlPr xmlns="http://schemas.microsoft.com/office/spreadsheetml/2009/9/main" objectType="CheckBox" fmlaLink="$L$110" lockText="1" noThreeD="1"/>
</file>

<file path=xl/ctrlProps/ctrlProp55.xml><?xml version="1.0" encoding="utf-8"?>
<formControlPr xmlns="http://schemas.microsoft.com/office/spreadsheetml/2009/9/main" objectType="CheckBox" fmlaLink="$L$111" lockText="1" noThreeD="1"/>
</file>

<file path=xl/ctrlProps/ctrlProp56.xml><?xml version="1.0" encoding="utf-8"?>
<formControlPr xmlns="http://schemas.microsoft.com/office/spreadsheetml/2009/9/main" objectType="CheckBox" fmlaLink="$L$112" lockText="1" noThreeD="1"/>
</file>

<file path=xl/ctrlProps/ctrlProp57.xml><?xml version="1.0" encoding="utf-8"?>
<formControlPr xmlns="http://schemas.microsoft.com/office/spreadsheetml/2009/9/main" objectType="CheckBox" fmlaLink="$L$113" lockText="1" noThreeD="1"/>
</file>

<file path=xl/ctrlProps/ctrlProp58.xml><?xml version="1.0" encoding="utf-8"?>
<formControlPr xmlns="http://schemas.microsoft.com/office/spreadsheetml/2009/9/main" objectType="CheckBox" fmlaLink="$L$114" lockText="1" noThreeD="1"/>
</file>

<file path=xl/ctrlProps/ctrlProp59.xml><?xml version="1.0" encoding="utf-8"?>
<formControlPr xmlns="http://schemas.microsoft.com/office/spreadsheetml/2009/9/main" objectType="CheckBox" checked="Checked" fmlaLink="$M$110" lockText="1" noThreeD="1"/>
</file>

<file path=xl/ctrlProps/ctrlProp60.xml><?xml version="1.0" encoding="utf-8"?>
<formControlPr xmlns="http://schemas.microsoft.com/office/spreadsheetml/2009/9/main" objectType="CheckBox" fmlaLink="$M$111" lockText="1" noThreeD="1"/>
</file>

<file path=xl/ctrlProps/ctrlProp61.xml><?xml version="1.0" encoding="utf-8"?>
<formControlPr xmlns="http://schemas.microsoft.com/office/spreadsheetml/2009/9/main" objectType="CheckBox" fmlaLink="$M$112" lockText="1" noThreeD="1"/>
</file>

<file path=xl/ctrlProps/ctrlProp62.xml><?xml version="1.0" encoding="utf-8"?>
<formControlPr xmlns="http://schemas.microsoft.com/office/spreadsheetml/2009/9/main" objectType="CheckBox" fmlaLink="$M$113" lockText="1" noThreeD="1"/>
</file>

<file path=xl/ctrlProps/ctrlProp63.xml><?xml version="1.0" encoding="utf-8"?>
<formControlPr xmlns="http://schemas.microsoft.com/office/spreadsheetml/2009/9/main" objectType="CheckBox" fmlaLink="$M$114" lockText="1" noThreeD="1"/>
</file>

<file path=xl/ctrlProps/ctrlProp64.xml><?xml version="1.0" encoding="utf-8"?>
<formControlPr xmlns="http://schemas.microsoft.com/office/spreadsheetml/2009/9/main" objectType="CheckBox" fmlaLink="$N$110" lockText="1" noThreeD="1"/>
</file>

<file path=xl/ctrlProps/ctrlProp65.xml><?xml version="1.0" encoding="utf-8"?>
<formControlPr xmlns="http://schemas.microsoft.com/office/spreadsheetml/2009/9/main" objectType="CheckBox" fmlaLink="$N$111" lockText="1" noThreeD="1"/>
</file>

<file path=xl/ctrlProps/ctrlProp66.xml><?xml version="1.0" encoding="utf-8"?>
<formControlPr xmlns="http://schemas.microsoft.com/office/spreadsheetml/2009/9/main" objectType="CheckBox" fmlaLink="$N$112" lockText="1" noThreeD="1"/>
</file>

<file path=xl/ctrlProps/ctrlProp67.xml><?xml version="1.0" encoding="utf-8"?>
<formControlPr xmlns="http://schemas.microsoft.com/office/spreadsheetml/2009/9/main" objectType="CheckBox" fmlaLink="$N$113" lockText="1" noThreeD="1"/>
</file>

<file path=xl/ctrlProps/ctrlProp68.xml><?xml version="1.0" encoding="utf-8"?>
<formControlPr xmlns="http://schemas.microsoft.com/office/spreadsheetml/2009/9/main" objectType="CheckBox" checked="Checked" fmlaLink="$N$114" lockText="1" noThreeD="1"/>
</file>

<file path=xl/ctrlProps/ctrlProp69.xml><?xml version="1.0" encoding="utf-8"?>
<formControlPr xmlns="http://schemas.microsoft.com/office/spreadsheetml/2009/9/main" objectType="CheckBox" fmlaLink="$G$151" lockText="1" noThreeD="1"/>
</file>

<file path=xl/ctrlProps/ctrlProp70.xml><?xml version="1.0" encoding="utf-8"?>
<formControlPr xmlns="http://schemas.microsoft.com/office/spreadsheetml/2009/9/main" objectType="CheckBox" fmlaLink="$G$152" lockText="1" noThreeD="1"/>
</file>

<file path=xl/ctrlProps/ctrlProp71.xml><?xml version="1.0" encoding="utf-8"?>
<formControlPr xmlns="http://schemas.microsoft.com/office/spreadsheetml/2009/9/main" objectType="CheckBox" fmlaLink="$G$153" lockText="1" noThreeD="1"/>
</file>

<file path=xl/ctrlProps/ctrlProp72.xml><?xml version="1.0" encoding="utf-8"?>
<formControlPr xmlns="http://schemas.microsoft.com/office/spreadsheetml/2009/9/main" objectType="CheckBox" checked="Checked" fmlaLink="$G$154" lockText="1" noThreeD="1"/>
</file>

<file path=xl/ctrlProps/ctrlProp73.xml><?xml version="1.0" encoding="utf-8"?>
<formControlPr xmlns="http://schemas.microsoft.com/office/spreadsheetml/2009/9/main" objectType="CheckBox" fmlaLink="$G$155" lockText="1" noThreeD="1"/>
</file>

<file path=xl/ctrlProps/ctrlProp74.xml><?xml version="1.0" encoding="utf-8"?>
<formControlPr xmlns="http://schemas.microsoft.com/office/spreadsheetml/2009/9/main" objectType="CheckBox" checked="Checked" fmlaLink="$G$156" lockText="1" noThreeD="1"/>
</file>

<file path=xl/ctrlProps/ctrlProp75.xml><?xml version="1.0" encoding="utf-8"?>
<formControlPr xmlns="http://schemas.microsoft.com/office/spreadsheetml/2009/9/main" objectType="CheckBox" fmlaLink="$G$157" lockText="1" noThreeD="1"/>
</file>

<file path=xl/ctrlProps/ctrlProp76.xml><?xml version="1.0" encoding="utf-8"?>
<formControlPr xmlns="http://schemas.microsoft.com/office/spreadsheetml/2009/9/main" objectType="CheckBox" fmlaLink="$G$278" lockText="1" noThreeD="1"/>
</file>

<file path=xl/ctrlProps/ctrlProp77.xml><?xml version="1.0" encoding="utf-8"?>
<formControlPr xmlns="http://schemas.microsoft.com/office/spreadsheetml/2009/9/main" objectType="CheckBox" fmlaLink="$G$279" lockText="1" noThreeD="1"/>
</file>

<file path=xl/ctrlProps/ctrlProp78.xml><?xml version="1.0" encoding="utf-8"?>
<formControlPr xmlns="http://schemas.microsoft.com/office/spreadsheetml/2009/9/main" objectType="CheckBox" fmlaLink="$G$280" lockText="1" noThreeD="1"/>
</file>

<file path=xl/ctrlProps/ctrlProp79.xml><?xml version="1.0" encoding="utf-8"?>
<formControlPr xmlns="http://schemas.microsoft.com/office/spreadsheetml/2009/9/main" objectType="CheckBox" fmlaLink="$G$284" lockText="1" noThreeD="1"/>
</file>

<file path=xl/ctrlProps/ctrlProp80.xml><?xml version="1.0" encoding="utf-8"?>
<formControlPr xmlns="http://schemas.microsoft.com/office/spreadsheetml/2009/9/main" objectType="CheckBox" fmlaLink="$G$285" lockText="1" noThreeD="1"/>
</file>

<file path=xl/ctrlProps/ctrlProp81.xml><?xml version="1.0" encoding="utf-8"?>
<formControlPr xmlns="http://schemas.microsoft.com/office/spreadsheetml/2009/9/main" objectType="CheckBox" fmlaLink="$G$286" lockText="1" noThreeD="1"/>
</file>

<file path=xl/ctrlProps/ctrlProp82.xml><?xml version="1.0" encoding="utf-8"?>
<formControlPr xmlns="http://schemas.microsoft.com/office/spreadsheetml/2009/9/main" objectType="CheckBox" fmlaLink="$G$287" lockText="1" noThreeD="1"/>
</file>

<file path=xl/ctrlProps/ctrlProp83.xml><?xml version="1.0" encoding="utf-8"?>
<formControlPr xmlns="http://schemas.microsoft.com/office/spreadsheetml/2009/9/main" objectType="Radio" firstButton="1" fmlaLink="$G$294" lockText="1" noThreeD="1"/>
</file>

<file path=xl/ctrlProps/ctrlProp84.xml><?xml version="1.0" encoding="utf-8"?>
<formControlPr xmlns="http://schemas.microsoft.com/office/spreadsheetml/2009/9/main" objectType="Radio" lockText="1" noThreeD="1"/>
</file>

<file path=xl/ctrlProps/ctrlProp85.xml><?xml version="1.0" encoding="utf-8"?>
<formControlPr xmlns="http://schemas.microsoft.com/office/spreadsheetml/2009/9/main" objectType="Radio" lockText="1" noThreeD="1"/>
</file>

<file path=xl/ctrlProps/ctrlProp86.xml><?xml version="1.0" encoding="utf-8"?>
<formControlPr xmlns="http://schemas.microsoft.com/office/spreadsheetml/2009/9/main" objectType="CheckBox" checked="Checked" fmlaLink="$G$258" lockText="1" noThreeD="1"/>
</file>

<file path=xl/ctrlProps/ctrlProp87.xml><?xml version="1.0" encoding="utf-8"?>
<formControlPr xmlns="http://schemas.microsoft.com/office/spreadsheetml/2009/9/main" objectType="CheckBox" fmlaLink="$G$259" lockText="1" noThreeD="1"/>
</file>

<file path=xl/ctrlProps/ctrlProp88.xml><?xml version="1.0" encoding="utf-8"?>
<formControlPr xmlns="http://schemas.microsoft.com/office/spreadsheetml/2009/9/main" objectType="CheckBox" fmlaLink="$G$260" lockText="1" noThreeD="1"/>
</file>

<file path=xl/ctrlProps/ctrlProp89.xml><?xml version="1.0" encoding="utf-8"?>
<formControlPr xmlns="http://schemas.microsoft.com/office/spreadsheetml/2009/9/main" objectType="CheckBox" fmlaLink="$H$66" lockText="1" noThreeD="1"/>
</file>

<file path=xl/ctrlProps/ctrlProp90.xml><?xml version="1.0" encoding="utf-8"?>
<formControlPr xmlns="http://schemas.microsoft.com/office/spreadsheetml/2009/9/main" objectType="CheckBox" fmlaLink="$H$68" lockText="1" noThreeD="1"/>
</file>

<file path=xl/ctrlProps/ctrlProp91.xml><?xml version="1.0" encoding="utf-8"?>
<formControlPr xmlns="http://schemas.microsoft.com/office/spreadsheetml/2009/9/main" objectType="CheckBox" fmlaLink="$H$69" lockText="1" noThreeD="1"/>
</file>

<file path=xl/ctrlProps/ctrlProp92.xml><?xml version="1.0" encoding="utf-8"?>
<formControlPr xmlns="http://schemas.microsoft.com/office/spreadsheetml/2009/9/main" objectType="CheckBox" fmlaLink="$H$70" lockText="1" noThreeD="1"/>
</file>

<file path=xl/ctrlProps/ctrlProp93.xml><?xml version="1.0" encoding="utf-8"?>
<formControlPr xmlns="http://schemas.microsoft.com/office/spreadsheetml/2009/9/main" objectType="GBox" noThreeD="1"/>
</file>

<file path=xl/ctrlProps/ctrlProp94.xml><?xml version="1.0" encoding="utf-8"?>
<formControlPr xmlns="http://schemas.microsoft.com/office/spreadsheetml/2009/9/main" objectType="Radio" firstButton="1" fmlaLink="$I$119" lockText="1" noThreeD="1"/>
</file>

<file path=xl/ctrlProps/ctrlProp95.xml><?xml version="1.0" encoding="utf-8"?>
<formControlPr xmlns="http://schemas.microsoft.com/office/spreadsheetml/2009/9/main" objectType="Radio" lockText="1" noThreeD="1"/>
</file>

<file path=xl/ctrlProps/ctrlProp96.xml><?xml version="1.0" encoding="utf-8"?>
<formControlPr xmlns="http://schemas.microsoft.com/office/spreadsheetml/2009/9/main" objectType="Radio" checked="Checked" lockText="1" noThreeD="1"/>
</file>

<file path=xl/ctrlProps/ctrlProp97.xml><?xml version="1.0" encoding="utf-8"?>
<formControlPr xmlns="http://schemas.microsoft.com/office/spreadsheetml/2009/9/main" objectType="GBox" noThreeD="1"/>
</file>

<file path=xl/ctrlProps/ctrlProp98.xml><?xml version="1.0" encoding="utf-8"?>
<formControlPr xmlns="http://schemas.microsoft.com/office/spreadsheetml/2009/9/main" objectType="Radio" firstButton="1" fmlaLink="$I$126" lockText="1" noThreeD="1"/>
</file>

<file path=xl/ctrlProps/ctrlProp99.xml><?xml version="1.0" encoding="utf-8"?>
<formControlPr xmlns="http://schemas.microsoft.com/office/spreadsheetml/2009/9/main" objectType="Radio" lockText="1" noThreeD="1"/>
</file>

<file path=xl/ctrlProps/ctrlProp100.xml><?xml version="1.0" encoding="utf-8"?>
<formControlPr xmlns="http://schemas.microsoft.com/office/spreadsheetml/2009/9/main" objectType="Radio" checked="Checked" lockText="1" noThreeD="1"/>
</file>

<file path=xl/ctrlProps/ctrlProp101.xml><?xml version="1.0" encoding="utf-8"?>
<formControlPr xmlns="http://schemas.microsoft.com/office/spreadsheetml/2009/9/main" objectType="GBox" noThreeD="1"/>
</file>

<file path=xl/ctrlProps/ctrlProp102.xml><?xml version="1.0" encoding="utf-8"?>
<formControlPr xmlns="http://schemas.microsoft.com/office/spreadsheetml/2009/9/main" objectType="Radio" checked="Checked" firstButton="1" fmlaLink="$H$76" lockText="1" noThreeD="1"/>
</file>

<file path=xl/ctrlProps/ctrlProp103.xml><?xml version="1.0" encoding="utf-8"?>
<formControlPr xmlns="http://schemas.microsoft.com/office/spreadsheetml/2009/9/main" objectType="Radio" lockText="1" noThreeD="1"/>
</file>

<file path=xl/ctrlProps/ctrlProp104.xml><?xml version="1.0" encoding="utf-8"?>
<formControlPr xmlns="http://schemas.microsoft.com/office/spreadsheetml/2009/9/main" objectType="Radio" lockText="1" noThreeD="1"/>
</file>

<file path=xl/ctrlProps/ctrlProp105.xml><?xml version="1.0" encoding="utf-8"?>
<formControlPr xmlns="http://schemas.microsoft.com/office/spreadsheetml/2009/9/main" objectType="Radio" lockText="1" noThreeD="1"/>
</file>

<file path=xl/ctrlProps/ctrlProp106.xml><?xml version="1.0" encoding="utf-8"?>
<formControlPr xmlns="http://schemas.microsoft.com/office/spreadsheetml/2009/9/main" objectType="GBox" noThreeD="1"/>
</file>

<file path=xl/ctrlProps/ctrlProp107.xml><?xml version="1.0" encoding="utf-8"?>
<formControlPr xmlns="http://schemas.microsoft.com/office/spreadsheetml/2009/9/main" objectType="GBox" noThreeD="1"/>
</file>

<file path=xl/ctrlProps/ctrlProp108.xml><?xml version="1.0" encoding="utf-8"?>
<formControlPr xmlns="http://schemas.microsoft.com/office/spreadsheetml/2009/9/main" objectType="GBox" noThreeD="1"/>
</file>

<file path=xl/ctrlProps/ctrlProp109.xml><?xml version="1.0" encoding="utf-8"?>
<formControlPr xmlns="http://schemas.microsoft.com/office/spreadsheetml/2009/9/main" objectType="GBox" noThreeD="1"/>
</file>

<file path=xl/ctrlProps/ctrlProp110.xml><?xml version="1.0" encoding="utf-8"?>
<formControlPr xmlns="http://schemas.microsoft.com/office/spreadsheetml/2009/9/main" objectType="GBox" noThreeD="1"/>
</file>

<file path=xl/ctrlProps/ctrlProp111.xml><?xml version="1.0" encoding="utf-8"?>
<formControlPr xmlns="http://schemas.microsoft.com/office/spreadsheetml/2009/9/main" objectType="Radio" checked="Checked" firstButton="1" fmlaLink="$H$80" lockText="1" noThreeD="1"/>
</file>

<file path=xl/ctrlProps/ctrlProp112.xml><?xml version="1.0" encoding="utf-8"?>
<formControlPr xmlns="http://schemas.microsoft.com/office/spreadsheetml/2009/9/main" objectType="Radio" lockText="1" noThreeD="1"/>
</file>

<file path=xl/ctrlProps/ctrlProp113.xml><?xml version="1.0" encoding="utf-8"?>
<formControlPr xmlns="http://schemas.microsoft.com/office/spreadsheetml/2009/9/main" objectType="Radio" lockText="1" noThreeD="1"/>
</file>

<file path=xl/ctrlProps/ctrlProp114.xml><?xml version="1.0" encoding="utf-8"?>
<formControlPr xmlns="http://schemas.microsoft.com/office/spreadsheetml/2009/9/main" objectType="Radio" lockText="1" noThreeD="1"/>
</file>

<file path=xl/ctrlProps/ctrlProp115.xml><?xml version="1.0" encoding="utf-8"?>
<formControlPr xmlns="http://schemas.microsoft.com/office/spreadsheetml/2009/9/main" objectType="GBox" noThreeD="1"/>
</file>

<file path=xl/ctrlProps/ctrlProp116.xml><?xml version="1.0" encoding="utf-8"?>
<formControlPr xmlns="http://schemas.microsoft.com/office/spreadsheetml/2009/9/main" objectType="GBox" noThreeD="1"/>
</file>

<file path=xl/ctrlProps/ctrlProp117.xml><?xml version="1.0" encoding="utf-8"?>
<formControlPr xmlns="http://schemas.microsoft.com/office/spreadsheetml/2009/9/main" objectType="GBox" noThreeD="1"/>
</file>

<file path=xl/ctrlProps/ctrlProp118.xml><?xml version="1.0" encoding="utf-8"?>
<formControlPr xmlns="http://schemas.microsoft.com/office/spreadsheetml/2009/9/main" objectType="GBox" noThreeD="1"/>
</file>

<file path=xl/ctrlProps/ctrlProp119.xml><?xml version="1.0" encoding="utf-8"?>
<formControlPr xmlns="http://schemas.microsoft.com/office/spreadsheetml/2009/9/main" objectType="GBox" noThreeD="1"/>
</file>

<file path=xl/ctrlProps/ctrlProp120.xml><?xml version="1.0" encoding="utf-8"?>
<formControlPr xmlns="http://schemas.microsoft.com/office/spreadsheetml/2009/9/main" objectType="GBox" noThreeD="1"/>
</file>

<file path=xl/ctrlProps/ctrlProp121.xml><?xml version="1.0" encoding="utf-8"?>
<formControlPr xmlns="http://schemas.microsoft.com/office/spreadsheetml/2009/9/main" objectType="GBox" noThreeD="1"/>
</file>

<file path=xl/ctrlProps/ctrlProp122.xml><?xml version="1.0" encoding="utf-8"?>
<formControlPr xmlns="http://schemas.microsoft.com/office/spreadsheetml/2009/9/main" objectType="Radio" firstButton="1" fmlaLink="$H$83" lockText="1" noThreeD="1"/>
</file>

<file path=xl/ctrlProps/ctrlProp123.xml><?xml version="1.0" encoding="utf-8"?>
<formControlPr xmlns="http://schemas.microsoft.com/office/spreadsheetml/2009/9/main" objectType="Radio" checked="Checked" lockText="1" noThreeD="1"/>
</file>

<file path=xl/ctrlProps/ctrlProp124.xml><?xml version="1.0" encoding="utf-8"?>
<formControlPr xmlns="http://schemas.microsoft.com/office/spreadsheetml/2009/9/main" objectType="Radio" lockText="1" noThreeD="1"/>
</file>

<file path=xl/ctrlProps/ctrlProp125.xml><?xml version="1.0" encoding="utf-8"?>
<formControlPr xmlns="http://schemas.microsoft.com/office/spreadsheetml/2009/9/main" objectType="Radio" lockText="1" noThreeD="1"/>
</file>

<file path=xl/ctrlProps/ctrlProp126.xml><?xml version="1.0" encoding="utf-8"?>
<formControlPr xmlns="http://schemas.microsoft.com/office/spreadsheetml/2009/9/main" objectType="Radio" firstButton="1" fmlaLink="$H$86" lockText="1" noThreeD="1"/>
</file>

<file path=xl/ctrlProps/ctrlProp127.xml><?xml version="1.0" encoding="utf-8"?>
<formControlPr xmlns="http://schemas.microsoft.com/office/spreadsheetml/2009/9/main" objectType="Radio" checked="Checked" lockText="1" noThreeD="1"/>
</file>

<file path=xl/ctrlProps/ctrlProp128.xml><?xml version="1.0" encoding="utf-8"?>
<formControlPr xmlns="http://schemas.microsoft.com/office/spreadsheetml/2009/9/main" objectType="Radio" lockText="1" noThreeD="1"/>
</file>

<file path=xl/ctrlProps/ctrlProp129.xml><?xml version="1.0" encoding="utf-8"?>
<formControlPr xmlns="http://schemas.microsoft.com/office/spreadsheetml/2009/9/main" objectType="Radio" lockText="1" noThreeD="1"/>
</file>

<file path=xl/ctrlProps/ctrlProp130.xml><?xml version="1.0" encoding="utf-8"?>
<formControlPr xmlns="http://schemas.microsoft.com/office/spreadsheetml/2009/9/main" objectType="Radio" firstButton="1" fmlaLink="$H$89" lockText="1" noThreeD="1"/>
</file>

<file path=xl/ctrlProps/ctrlProp131.xml><?xml version="1.0" encoding="utf-8"?>
<formControlPr xmlns="http://schemas.microsoft.com/office/spreadsheetml/2009/9/main" objectType="Radio" lockText="1" noThreeD="1"/>
</file>

<file path=xl/ctrlProps/ctrlProp132.xml><?xml version="1.0" encoding="utf-8"?>
<formControlPr xmlns="http://schemas.microsoft.com/office/spreadsheetml/2009/9/main" objectType="Radio" checked="Checked" lockText="1" noThreeD="1"/>
</file>

<file path=xl/ctrlProps/ctrlProp133.xml><?xml version="1.0" encoding="utf-8"?>
<formControlPr xmlns="http://schemas.microsoft.com/office/spreadsheetml/2009/9/main" objectType="Radio" lockText="1" noThreeD="1"/>
</file>

<file path=xl/ctrlProps/ctrlProp134.xml><?xml version="1.0" encoding="utf-8"?>
<formControlPr xmlns="http://schemas.microsoft.com/office/spreadsheetml/2009/9/main" objectType="GBox" noThreeD="1"/>
</file>

<file path=xl/ctrlProps/ctrlProp135.xml><?xml version="1.0" encoding="utf-8"?>
<formControlPr xmlns="http://schemas.microsoft.com/office/spreadsheetml/2009/9/main" objectType="GBox" noThreeD="1"/>
</file>

<file path=xl/ctrlProps/ctrlProp136.xml><?xml version="1.0" encoding="utf-8"?>
<formControlPr xmlns="http://schemas.microsoft.com/office/spreadsheetml/2009/9/main" objectType="GBox" noThreeD="1"/>
</file>

<file path=xl/ctrlProps/ctrlProp137.xml><?xml version="1.0" encoding="utf-8"?>
<formControlPr xmlns="http://schemas.microsoft.com/office/spreadsheetml/2009/9/main" objectType="Radio" firstButton="1" fmlaLink="$H$91" lockText="1" noThreeD="1"/>
</file>

<file path=xl/ctrlProps/ctrlProp138.xml><?xml version="1.0" encoding="utf-8"?>
<formControlPr xmlns="http://schemas.microsoft.com/office/spreadsheetml/2009/9/main" objectType="Radio" lockText="1" noThreeD="1"/>
</file>

<file path=xl/ctrlProps/ctrlProp139.xml><?xml version="1.0" encoding="utf-8"?>
<formControlPr xmlns="http://schemas.microsoft.com/office/spreadsheetml/2009/9/main" objectType="Radio" lockText="1" noThreeD="1"/>
</file>

<file path=xl/ctrlProps/ctrlProp140.xml><?xml version="1.0" encoding="utf-8"?>
<formControlPr xmlns="http://schemas.microsoft.com/office/spreadsheetml/2009/9/main" objectType="Radio" checked="Checked" lockText="1" noThreeD="1"/>
</file>

<file path=xl/ctrlProps/ctrlProp141.xml><?xml version="1.0" encoding="utf-8"?>
<formControlPr xmlns="http://schemas.microsoft.com/office/spreadsheetml/2009/9/main" objectType="GBox" noThreeD="1"/>
</file>

<file path=xl/ctrlProps/ctrlProp142.xml><?xml version="1.0" encoding="utf-8"?>
<formControlPr xmlns="http://schemas.microsoft.com/office/spreadsheetml/2009/9/main" objectType="GBox" noThreeD="1"/>
</file>

<file path=xl/ctrlProps/ctrlProp143.xml><?xml version="1.0" encoding="utf-8"?>
<formControlPr xmlns="http://schemas.microsoft.com/office/spreadsheetml/2009/9/main" objectType="GBox" noThreeD="1"/>
</file>

<file path=xl/ctrlProps/ctrlProp144.xml><?xml version="1.0" encoding="utf-8"?>
<formControlPr xmlns="http://schemas.microsoft.com/office/spreadsheetml/2009/9/main" objectType="Radio" firstButton="1" fmlaLink="$H$77" lockText="1" noThreeD="1"/>
</file>

<file path=xl/ctrlProps/ctrlProp145.xml><?xml version="1.0" encoding="utf-8"?>
<formControlPr xmlns="http://schemas.microsoft.com/office/spreadsheetml/2009/9/main" objectType="Radio" checked="Checked" lockText="1" noThreeD="1"/>
</file>

<file path=xl/ctrlProps/ctrlProp146.xml><?xml version="1.0" encoding="utf-8"?>
<formControlPr xmlns="http://schemas.microsoft.com/office/spreadsheetml/2009/9/main" objectType="Radio" lockText="1" noThreeD="1"/>
</file>

<file path=xl/ctrlProps/ctrlProp147.xml><?xml version="1.0" encoding="utf-8"?>
<formControlPr xmlns="http://schemas.microsoft.com/office/spreadsheetml/2009/9/main" objectType="Radio" lockText="1" noThreeD="1"/>
</file>

<file path=xl/ctrlProps/ctrlProp148.xml><?xml version="1.0" encoding="utf-8"?>
<formControlPr xmlns="http://schemas.microsoft.com/office/spreadsheetml/2009/9/main" objectType="Radio" checked="Checked" firstButton="1" fmlaLink="$H$78" lockText="1" noThreeD="1"/>
</file>

<file path=xl/ctrlProps/ctrlProp149.xml><?xml version="1.0" encoding="utf-8"?>
<formControlPr xmlns="http://schemas.microsoft.com/office/spreadsheetml/2009/9/main" objectType="Radio" lockText="1" noThreeD="1"/>
</file>

<file path=xl/ctrlProps/ctrlProp150.xml><?xml version="1.0" encoding="utf-8"?>
<formControlPr xmlns="http://schemas.microsoft.com/office/spreadsheetml/2009/9/main" objectType="Radio" lockText="1" noThreeD="1"/>
</file>

<file path=xl/ctrlProps/ctrlProp151.xml><?xml version="1.0" encoding="utf-8"?>
<formControlPr xmlns="http://schemas.microsoft.com/office/spreadsheetml/2009/9/main" objectType="Radio" lockText="1" noThreeD="1"/>
</file>

<file path=xl/ctrlProps/ctrlProp152.xml><?xml version="1.0" encoding="utf-8"?>
<formControlPr xmlns="http://schemas.microsoft.com/office/spreadsheetml/2009/9/main" objectType="Radio" firstButton="1" fmlaLink="$H$79" lockText="1" noThreeD="1"/>
</file>

<file path=xl/ctrlProps/ctrlProp153.xml><?xml version="1.0" encoding="utf-8"?>
<formControlPr xmlns="http://schemas.microsoft.com/office/spreadsheetml/2009/9/main" objectType="Radio" checked="Checked" lockText="1" noThreeD="1"/>
</file>

<file path=xl/ctrlProps/ctrlProp154.xml><?xml version="1.0" encoding="utf-8"?>
<formControlPr xmlns="http://schemas.microsoft.com/office/spreadsheetml/2009/9/main" objectType="Radio" lockText="1" noThreeD="1"/>
</file>

<file path=xl/ctrlProps/ctrlProp155.xml><?xml version="1.0" encoding="utf-8"?>
<formControlPr xmlns="http://schemas.microsoft.com/office/spreadsheetml/2009/9/main" objectType="Radio" lockText="1" noThreeD="1"/>
</file>

<file path=xl/ctrlProps/ctrlProp156.xml><?xml version="1.0" encoding="utf-8"?>
<formControlPr xmlns="http://schemas.microsoft.com/office/spreadsheetml/2009/9/main" objectType="Radio" checked="Checked" firstButton="1" fmlaLink="$H$81" lockText="1" noThreeD="1"/>
</file>

<file path=xl/ctrlProps/ctrlProp157.xml><?xml version="1.0" encoding="utf-8"?>
<formControlPr xmlns="http://schemas.microsoft.com/office/spreadsheetml/2009/9/main" objectType="Radio" lockText="1" noThreeD="1"/>
</file>

<file path=xl/ctrlProps/ctrlProp158.xml><?xml version="1.0" encoding="utf-8"?>
<formControlPr xmlns="http://schemas.microsoft.com/office/spreadsheetml/2009/9/main" objectType="Radio" lockText="1" noThreeD="1"/>
</file>

<file path=xl/ctrlProps/ctrlProp159.xml><?xml version="1.0" encoding="utf-8"?>
<formControlPr xmlns="http://schemas.microsoft.com/office/spreadsheetml/2009/9/main" objectType="Radio" lockText="1" noThreeD="1"/>
</file>

<file path=xl/ctrlProps/ctrlProp160.xml><?xml version="1.0" encoding="utf-8"?>
<formControlPr xmlns="http://schemas.microsoft.com/office/spreadsheetml/2009/9/main" objectType="Radio" firstButton="1" fmlaLink="$H$84" lockText="1" noThreeD="1"/>
</file>

<file path=xl/ctrlProps/ctrlProp161.xml><?xml version="1.0" encoding="utf-8"?>
<formControlPr xmlns="http://schemas.microsoft.com/office/spreadsheetml/2009/9/main" objectType="Radio" checked="Checked" lockText="1" noThreeD="1"/>
</file>

<file path=xl/ctrlProps/ctrlProp162.xml><?xml version="1.0" encoding="utf-8"?>
<formControlPr xmlns="http://schemas.microsoft.com/office/spreadsheetml/2009/9/main" objectType="Radio" lockText="1" noThreeD="1"/>
</file>

<file path=xl/ctrlProps/ctrlProp163.xml><?xml version="1.0" encoding="utf-8"?>
<formControlPr xmlns="http://schemas.microsoft.com/office/spreadsheetml/2009/9/main" objectType="Radio" lockText="1" noThreeD="1"/>
</file>

<file path=xl/ctrlProps/ctrlProp164.xml><?xml version="1.0" encoding="utf-8"?>
<formControlPr xmlns="http://schemas.microsoft.com/office/spreadsheetml/2009/9/main" objectType="Radio" firstButton="1" fmlaLink="$H$85" lockText="1" noThreeD="1"/>
</file>

<file path=xl/ctrlProps/ctrlProp165.xml><?xml version="1.0" encoding="utf-8"?>
<formControlPr xmlns="http://schemas.microsoft.com/office/spreadsheetml/2009/9/main" objectType="Radio" checked="Checked" lockText="1" noThreeD="1"/>
</file>

<file path=xl/ctrlProps/ctrlProp166.xml><?xml version="1.0" encoding="utf-8"?>
<formControlPr xmlns="http://schemas.microsoft.com/office/spreadsheetml/2009/9/main" objectType="Radio" lockText="1" noThreeD="1"/>
</file>

<file path=xl/ctrlProps/ctrlProp167.xml><?xml version="1.0" encoding="utf-8"?>
<formControlPr xmlns="http://schemas.microsoft.com/office/spreadsheetml/2009/9/main" objectType="Radio" lockText="1" noThreeD="1"/>
</file>

<file path=xl/ctrlProps/ctrlProp168.xml><?xml version="1.0" encoding="utf-8"?>
<formControlPr xmlns="http://schemas.microsoft.com/office/spreadsheetml/2009/9/main" objectType="Radio" firstButton="1" fmlaLink="$H$87" lockText="1" noThreeD="1"/>
</file>

<file path=xl/ctrlProps/ctrlProp169.xml><?xml version="1.0" encoding="utf-8"?>
<formControlPr xmlns="http://schemas.microsoft.com/office/spreadsheetml/2009/9/main" objectType="Radio" lockText="1" noThreeD="1"/>
</file>

<file path=xl/ctrlProps/ctrlProp170.xml><?xml version="1.0" encoding="utf-8"?>
<formControlPr xmlns="http://schemas.microsoft.com/office/spreadsheetml/2009/9/main" objectType="Radio" checked="Checked" lockText="1" noThreeD="1"/>
</file>

<file path=xl/ctrlProps/ctrlProp171.xml><?xml version="1.0" encoding="utf-8"?>
<formControlPr xmlns="http://schemas.microsoft.com/office/spreadsheetml/2009/9/main" objectType="Radio" lockText="1" noThreeD="1"/>
</file>

<file path=xl/ctrlProps/ctrlProp172.xml><?xml version="1.0" encoding="utf-8"?>
<formControlPr xmlns="http://schemas.microsoft.com/office/spreadsheetml/2009/9/main" objectType="Radio" firstButton="1" fmlaLink="$H$88" lockText="1" noThreeD="1"/>
</file>

<file path=xl/ctrlProps/ctrlProp173.xml><?xml version="1.0" encoding="utf-8"?>
<formControlPr xmlns="http://schemas.microsoft.com/office/spreadsheetml/2009/9/main" objectType="Radio" lockText="1" noThreeD="1"/>
</file>

<file path=xl/ctrlProps/ctrlProp174.xml><?xml version="1.0" encoding="utf-8"?>
<formControlPr xmlns="http://schemas.microsoft.com/office/spreadsheetml/2009/9/main" objectType="Radio" checked="Checked" lockText="1" noThreeD="1"/>
</file>

<file path=xl/ctrlProps/ctrlProp175.xml><?xml version="1.0" encoding="utf-8"?>
<formControlPr xmlns="http://schemas.microsoft.com/office/spreadsheetml/2009/9/main" objectType="Radio" lockText="1" noThreeD="1"/>
</file>

<file path=xl/ctrlProps/ctrlProp176.xml><?xml version="1.0" encoding="utf-8"?>
<formControlPr xmlns="http://schemas.microsoft.com/office/spreadsheetml/2009/9/main" objectType="Radio" firstButton="1" fmlaLink="$H$90" lockText="1" noThreeD="1"/>
</file>

<file path=xl/ctrlProps/ctrlProp177.xml><?xml version="1.0" encoding="utf-8"?>
<formControlPr xmlns="http://schemas.microsoft.com/office/spreadsheetml/2009/9/main" objectType="Radio" lockText="1" noThreeD="1"/>
</file>

<file path=xl/ctrlProps/ctrlProp178.xml><?xml version="1.0" encoding="utf-8"?>
<formControlPr xmlns="http://schemas.microsoft.com/office/spreadsheetml/2009/9/main" objectType="Radio" checked="Checked" lockText="1" noThreeD="1"/>
</file>

<file path=xl/ctrlProps/ctrlProp179.xml><?xml version="1.0" encoding="utf-8"?>
<formControlPr xmlns="http://schemas.microsoft.com/office/spreadsheetml/2009/9/main" objectType="Radio" lockText="1" noThreeD="1"/>
</file>

<file path=xl/ctrlProps/ctrlProp180.xml><?xml version="1.0" encoding="utf-8"?>
<formControlPr xmlns="http://schemas.microsoft.com/office/spreadsheetml/2009/9/main" objectType="Radio" firstButton="1" fmlaLink="$H$92" lockText="1" noThreeD="1"/>
</file>

<file path=xl/ctrlProps/ctrlProp181.xml><?xml version="1.0" encoding="utf-8"?>
<formControlPr xmlns="http://schemas.microsoft.com/office/spreadsheetml/2009/9/main" objectType="Radio" lockText="1" noThreeD="1"/>
</file>

<file path=xl/ctrlProps/ctrlProp182.xml><?xml version="1.0" encoding="utf-8"?>
<formControlPr xmlns="http://schemas.microsoft.com/office/spreadsheetml/2009/9/main" objectType="Radio" checked="Checked" lockText="1" noThreeD="1"/>
</file>

<file path=xl/ctrlProps/ctrlProp183.xml><?xml version="1.0" encoding="utf-8"?>
<formControlPr xmlns="http://schemas.microsoft.com/office/spreadsheetml/2009/9/main" objectType="Radio" lockText="1" noThreeD="1"/>
</file>

<file path=xl/ctrlProps/ctrlProp184.xml><?xml version="1.0" encoding="utf-8"?>
<formControlPr xmlns="http://schemas.microsoft.com/office/spreadsheetml/2009/9/main" objectType="Radio" firstButton="1" fmlaLink="$H$93" lockText="1" noThreeD="1"/>
</file>

<file path=xl/ctrlProps/ctrlProp185.xml><?xml version="1.0" encoding="utf-8"?>
<formControlPr xmlns="http://schemas.microsoft.com/office/spreadsheetml/2009/9/main" objectType="Radio" lockText="1" noThreeD="1"/>
</file>

<file path=xl/ctrlProps/ctrlProp186.xml><?xml version="1.0" encoding="utf-8"?>
<formControlPr xmlns="http://schemas.microsoft.com/office/spreadsheetml/2009/9/main" objectType="Radio" checked="Checked" lockText="1" noThreeD="1"/>
</file>

<file path=xl/ctrlProps/ctrlProp187.xml><?xml version="1.0" encoding="utf-8"?>
<formControlPr xmlns="http://schemas.microsoft.com/office/spreadsheetml/2009/9/main" objectType="Radio" lockText="1" noThreeD="1"/>
</file>

<file path=xl/ctrlProps/ctrlProp188.xml><?xml version="1.0" encoding="utf-8"?>
<formControlPr xmlns="http://schemas.microsoft.com/office/spreadsheetml/2009/9/main" objectType="Radio" firstButton="1" fmlaLink="$H$94" lockText="1" noThreeD="1"/>
</file>

<file path=xl/ctrlProps/ctrlProp189.xml><?xml version="1.0" encoding="utf-8"?>
<formControlPr xmlns="http://schemas.microsoft.com/office/spreadsheetml/2009/9/main" objectType="Radio" lockText="1" noThreeD="1"/>
</file>

<file path=xl/ctrlProps/ctrlProp190.xml><?xml version="1.0" encoding="utf-8"?>
<formControlPr xmlns="http://schemas.microsoft.com/office/spreadsheetml/2009/9/main" objectType="Radio" checked="Checked" lockText="1" noThreeD="1"/>
</file>

<file path=xl/ctrlProps/ctrlProp191.xml><?xml version="1.0" encoding="utf-8"?>
<formControlPr xmlns="http://schemas.microsoft.com/office/spreadsheetml/2009/9/main" objectType="Radio" lockText="1" noThreeD="1"/>
</file>

<file path=xl/ctrlProps/ctrlProp192.xml><?xml version="1.0" encoding="utf-8"?>
<formControlPr xmlns="http://schemas.microsoft.com/office/spreadsheetml/2009/9/main" objectType="GBox" noThreeD="1"/>
</file>

<file path=xl/ctrlProps/ctrlProp193.xml><?xml version="1.0" encoding="utf-8"?>
<formControlPr xmlns="http://schemas.microsoft.com/office/spreadsheetml/2009/9/main" objectType="Radio" firstButton="1" fmlaLink="$H$95" lockText="1" noThreeD="1"/>
</file>

<file path=xl/ctrlProps/ctrlProp194.xml><?xml version="1.0" encoding="utf-8"?>
<formControlPr xmlns="http://schemas.microsoft.com/office/spreadsheetml/2009/9/main" objectType="Radio" checked="Checked" lockText="1" noThreeD="1"/>
</file>

<file path=xl/ctrlProps/ctrlProp195.xml><?xml version="1.0" encoding="utf-8"?>
<formControlPr xmlns="http://schemas.microsoft.com/office/spreadsheetml/2009/9/main" objectType="Radio" lockText="1" noThreeD="1"/>
</file>

<file path=xl/ctrlProps/ctrlProp196.xml><?xml version="1.0" encoding="utf-8"?>
<formControlPr xmlns="http://schemas.microsoft.com/office/spreadsheetml/2009/9/main" objectType="Radio" lockText="1" noThreeD="1"/>
</file>

<file path=xl/ctrlProps/ctrlProp197.xml><?xml version="1.0" encoding="utf-8"?>
<formControlPr xmlns="http://schemas.microsoft.com/office/spreadsheetml/2009/9/main" objectType="CheckBox" checked="Checked" fmlaLink="C20" lockText="1" noThreeD="1"/>
</file>

<file path=xl/ctrlProps/ctrlProp198.xml><?xml version="1.0" encoding="utf-8"?>
<formControlPr xmlns="http://schemas.microsoft.com/office/spreadsheetml/2009/9/main" objectType="CheckBox" fmlaLink="C21" lockText="1" noThreeD="1"/>
</file>

<file path=xl/ctrlProps/ctrlProp199.xml><?xml version="1.0" encoding="utf-8"?>
<formControlPr xmlns="http://schemas.microsoft.com/office/spreadsheetml/2009/9/main" objectType="CheckBox" checked="Checked" fmlaLink="C22" lockText="1" noThreeD="1"/>
</file>

<file path=xl/ctrlProps/ctrlProp200.xml><?xml version="1.0" encoding="utf-8"?>
<formControlPr xmlns="http://schemas.microsoft.com/office/spreadsheetml/2009/9/main" objectType="CheckBox" fmlaLink="C23" lockText="1" noThreeD="1"/>
</file>

<file path=xl/ctrlProps/ctrlProp201.xml><?xml version="1.0" encoding="utf-8"?>
<formControlPr xmlns="http://schemas.microsoft.com/office/spreadsheetml/2009/9/main" objectType="CheckBox" fmlaLink="H46" lockText="1" noThreeD="1"/>
</file>

<file path=xl/ctrlProps/ctrlProp202.xml><?xml version="1.0" encoding="utf-8"?>
<formControlPr xmlns="http://schemas.microsoft.com/office/spreadsheetml/2009/9/main" objectType="CheckBox" fmlaLink="I46" lockText="1" noThreeD="1"/>
</file>

<file path=xl/ctrlProps/ctrlProp203.xml><?xml version="1.0" encoding="utf-8"?>
<formControlPr xmlns="http://schemas.microsoft.com/office/spreadsheetml/2009/9/main" objectType="CheckBox" fmlaLink="J46" lockText="1" noThreeD="1"/>
</file>

<file path=xl/ctrlProps/ctrlProp204.xml><?xml version="1.0" encoding="utf-8"?>
<formControlPr xmlns="http://schemas.microsoft.com/office/spreadsheetml/2009/9/main" objectType="CheckBox" fmlaLink="K46" lockText="1" noThreeD="1"/>
</file>

<file path=xl/ctrlProps/ctrlProp205.xml><?xml version="1.0" encoding="utf-8"?>
<formControlPr xmlns="http://schemas.microsoft.com/office/spreadsheetml/2009/9/main" objectType="GBox" noThreeD="1"/>
</file>

<file path=xl/ctrlProps/ctrlProp206.xml><?xml version="1.0" encoding="utf-8"?>
<formControlPr xmlns="http://schemas.microsoft.com/office/spreadsheetml/2009/9/main" objectType="Radio" checked="Checked" firstButton="1" fmlaLink="$H$31" lockText="1" noThreeD="1"/>
</file>

<file path=xl/ctrlProps/ctrlProp207.xml><?xml version="1.0" encoding="utf-8"?>
<formControlPr xmlns="http://schemas.microsoft.com/office/spreadsheetml/2009/9/main" objectType="Radio" lockText="1" noThreeD="1"/>
</file>

<file path=xl/ctrlProps/ctrlProp208.xml><?xml version="1.0" encoding="utf-8"?>
<formControlPr xmlns="http://schemas.microsoft.com/office/spreadsheetml/2009/9/main" objectType="Radio" lockText="1" noThreeD="1"/>
</file>

<file path=xl/ctrlProps/ctrlProp209.xml><?xml version="1.0" encoding="utf-8"?>
<formControlPr xmlns="http://schemas.microsoft.com/office/spreadsheetml/2009/9/main" objectType="Radio" lockText="1" noThreeD="1"/>
</file>

<file path=xl/ctrlProps/ctrlProp210.xml><?xml version="1.0" encoding="utf-8"?>
<formControlPr xmlns="http://schemas.microsoft.com/office/spreadsheetml/2009/9/main" objectType="Radio" lockText="1" noThreeD="1"/>
</file>

<file path=xl/ctrlProps/ctrlProp211.xml><?xml version="1.0" encoding="utf-8"?>
<formControlPr xmlns="http://schemas.microsoft.com/office/spreadsheetml/2009/9/main" objectType="GBox" noThreeD="1"/>
</file>

<file path=xl/ctrlProps/ctrlProp212.xml><?xml version="1.0" encoding="utf-8"?>
<formControlPr xmlns="http://schemas.microsoft.com/office/spreadsheetml/2009/9/main" objectType="Radio" checked="Checked" firstButton="1" fmlaLink="$H$32" lockText="1" noThreeD="1"/>
</file>

<file path=xl/ctrlProps/ctrlProp213.xml><?xml version="1.0" encoding="utf-8"?>
<formControlPr xmlns="http://schemas.microsoft.com/office/spreadsheetml/2009/9/main" objectType="Radio" lockText="1" noThreeD="1"/>
</file>

<file path=xl/ctrlProps/ctrlProp214.xml><?xml version="1.0" encoding="utf-8"?>
<formControlPr xmlns="http://schemas.microsoft.com/office/spreadsheetml/2009/9/main" objectType="Radio" lockText="1" noThreeD="1"/>
</file>

<file path=xl/ctrlProps/ctrlProp215.xml><?xml version="1.0" encoding="utf-8"?>
<formControlPr xmlns="http://schemas.microsoft.com/office/spreadsheetml/2009/9/main" objectType="Radio" lockText="1" noThreeD="1"/>
</file>

<file path=xl/ctrlProps/ctrlProp216.xml><?xml version="1.0" encoding="utf-8"?>
<formControlPr xmlns="http://schemas.microsoft.com/office/spreadsheetml/2009/9/main" objectType="Radio" lockText="1" noThreeD="1"/>
</file>

<file path=xl/ctrlProps/ctrlProp217.xml><?xml version="1.0" encoding="utf-8"?>
<formControlPr xmlns="http://schemas.microsoft.com/office/spreadsheetml/2009/9/main" objectType="GBox" noThreeD="1"/>
</file>

<file path=xl/ctrlProps/ctrlProp218.xml><?xml version="1.0" encoding="utf-8"?>
<formControlPr xmlns="http://schemas.microsoft.com/office/spreadsheetml/2009/9/main" objectType="Radio" checked="Checked" firstButton="1" fmlaLink="$H$33" lockText="1" noThreeD="1"/>
</file>

<file path=xl/ctrlProps/ctrlProp219.xml><?xml version="1.0" encoding="utf-8"?>
<formControlPr xmlns="http://schemas.microsoft.com/office/spreadsheetml/2009/9/main" objectType="Radio" lockText="1" noThreeD="1"/>
</file>

<file path=xl/ctrlProps/ctrlProp220.xml><?xml version="1.0" encoding="utf-8"?>
<formControlPr xmlns="http://schemas.microsoft.com/office/spreadsheetml/2009/9/main" objectType="Radio" lockText="1" noThreeD="1"/>
</file>

<file path=xl/ctrlProps/ctrlProp221.xml><?xml version="1.0" encoding="utf-8"?>
<formControlPr xmlns="http://schemas.microsoft.com/office/spreadsheetml/2009/9/main" objectType="Radio" lockText="1" noThreeD="1"/>
</file>

<file path=xl/ctrlProps/ctrlProp222.xml><?xml version="1.0" encoding="utf-8"?>
<formControlPr xmlns="http://schemas.microsoft.com/office/spreadsheetml/2009/9/main" objectType="Radio" lockText="1" noThreeD="1"/>
</file>

<file path=xl/ctrlProps/ctrlProp223.xml><?xml version="1.0" encoding="utf-8"?>
<formControlPr xmlns="http://schemas.microsoft.com/office/spreadsheetml/2009/9/main" objectType="GBox" noThreeD="1"/>
</file>

<file path=xl/ctrlProps/ctrlProp224.xml><?xml version="1.0" encoding="utf-8"?>
<formControlPr xmlns="http://schemas.microsoft.com/office/spreadsheetml/2009/9/main" objectType="Radio" firstButton="1" fmlaLink="$H$34" lockText="1" noThreeD="1"/>
</file>

<file path=xl/ctrlProps/ctrlProp225.xml><?xml version="1.0" encoding="utf-8"?>
<formControlPr xmlns="http://schemas.microsoft.com/office/spreadsheetml/2009/9/main" objectType="Radio" checked="Checked" lockText="1" noThreeD="1"/>
</file>

<file path=xl/ctrlProps/ctrlProp226.xml><?xml version="1.0" encoding="utf-8"?>
<formControlPr xmlns="http://schemas.microsoft.com/office/spreadsheetml/2009/9/main" objectType="Radio" lockText="1" noThreeD="1"/>
</file>

<file path=xl/ctrlProps/ctrlProp227.xml><?xml version="1.0" encoding="utf-8"?>
<formControlPr xmlns="http://schemas.microsoft.com/office/spreadsheetml/2009/9/main" objectType="Radio" lockText="1" noThreeD="1"/>
</file>

<file path=xl/ctrlProps/ctrlProp228.xml><?xml version="1.0" encoding="utf-8"?>
<formControlPr xmlns="http://schemas.microsoft.com/office/spreadsheetml/2009/9/main" objectType="Radio" lockText="1" noThreeD="1"/>
</file>

<file path=xl/ctrlProps/ctrlProp229.xml><?xml version="1.0" encoding="utf-8"?>
<formControlPr xmlns="http://schemas.microsoft.com/office/spreadsheetml/2009/9/main" objectType="GBox" noThreeD="1"/>
</file>

<file path=xl/ctrlProps/ctrlProp230.xml><?xml version="1.0" encoding="utf-8"?>
<formControlPr xmlns="http://schemas.microsoft.com/office/spreadsheetml/2009/9/main" objectType="Radio" checked="Checked" firstButton="1" fmlaLink="$H$35" lockText="1" noThreeD="1"/>
</file>

<file path=xl/ctrlProps/ctrlProp231.xml><?xml version="1.0" encoding="utf-8"?>
<formControlPr xmlns="http://schemas.microsoft.com/office/spreadsheetml/2009/9/main" objectType="Radio" lockText="1" noThreeD="1"/>
</file>

<file path=xl/ctrlProps/ctrlProp232.xml><?xml version="1.0" encoding="utf-8"?>
<formControlPr xmlns="http://schemas.microsoft.com/office/spreadsheetml/2009/9/main" objectType="Radio" lockText="1" noThreeD="1"/>
</file>

<file path=xl/ctrlProps/ctrlProp233.xml><?xml version="1.0" encoding="utf-8"?>
<formControlPr xmlns="http://schemas.microsoft.com/office/spreadsheetml/2009/9/main" objectType="Radio" lockText="1" noThreeD="1"/>
</file>

<file path=xl/ctrlProps/ctrlProp234.xml><?xml version="1.0" encoding="utf-8"?>
<formControlPr xmlns="http://schemas.microsoft.com/office/spreadsheetml/2009/9/main" objectType="Radio" lockText="1" noThreeD="1"/>
</file>

<file path=xl/ctrlProps/ctrlProp235.xml><?xml version="1.0" encoding="utf-8"?>
<formControlPr xmlns="http://schemas.microsoft.com/office/spreadsheetml/2009/9/main" objectType="GBox" noThreeD="1"/>
</file>

<file path=xl/ctrlProps/ctrlProp236.xml><?xml version="1.0" encoding="utf-8"?>
<formControlPr xmlns="http://schemas.microsoft.com/office/spreadsheetml/2009/9/main" objectType="Radio" checked="Checked" firstButton="1" fmlaLink="$H$36" lockText="1" noThreeD="1"/>
</file>

<file path=xl/ctrlProps/ctrlProp237.xml><?xml version="1.0" encoding="utf-8"?>
<formControlPr xmlns="http://schemas.microsoft.com/office/spreadsheetml/2009/9/main" objectType="Radio" lockText="1" noThreeD="1"/>
</file>

<file path=xl/ctrlProps/ctrlProp238.xml><?xml version="1.0" encoding="utf-8"?>
<formControlPr xmlns="http://schemas.microsoft.com/office/spreadsheetml/2009/9/main" objectType="Radio" lockText="1" noThreeD="1"/>
</file>

<file path=xl/ctrlProps/ctrlProp239.xml><?xml version="1.0" encoding="utf-8"?>
<formControlPr xmlns="http://schemas.microsoft.com/office/spreadsheetml/2009/9/main" objectType="Radio" lockText="1" noThreeD="1"/>
</file>

<file path=xl/ctrlProps/ctrlProp240.xml><?xml version="1.0" encoding="utf-8"?>
<formControlPr xmlns="http://schemas.microsoft.com/office/spreadsheetml/2009/9/main" objectType="Radio" lockText="1" noThreeD="1"/>
</file>

<file path=xl/ctrlProps/ctrlProp241.xml><?xml version="1.0" encoding="utf-8"?>
<formControlPr xmlns="http://schemas.microsoft.com/office/spreadsheetml/2009/9/main" objectType="CheckBox" fmlaLink="$C$5" lockText="1" noThreeD="1"/>
</file>

<file path=xl/ctrlProps/ctrlProp242.xml><?xml version="1.0" encoding="utf-8"?>
<formControlPr xmlns="http://schemas.microsoft.com/office/spreadsheetml/2009/9/main" objectType="CheckBox" fmlaLink="$C$6" lockText="1" noThreeD="1"/>
</file>

<file path=xl/ctrlProps/ctrlProp243.xml><?xml version="1.0" encoding="utf-8"?>
<formControlPr xmlns="http://schemas.microsoft.com/office/spreadsheetml/2009/9/main" objectType="CheckBox" fmlaLink="$C$7" lockText="1" noThreeD="1"/>
</file>

<file path=xl/ctrlProps/ctrlProp244.xml><?xml version="1.0" encoding="utf-8"?>
<formControlPr xmlns="http://schemas.microsoft.com/office/spreadsheetml/2009/9/main" objectType="CheckBox" fmlaLink="$C$8" lockText="1" noThreeD="1"/>
</file>

<file path=xl/ctrlProps/ctrlProp245.xml><?xml version="1.0" encoding="utf-8"?>
<formControlPr xmlns="http://schemas.microsoft.com/office/spreadsheetml/2009/9/main" objectType="CheckBox" fmlaLink="$C$9" lockText="1" noThreeD="1"/>
</file>

<file path=xl/ctrlProps/ctrlProp246.xml><?xml version="1.0" encoding="utf-8"?>
<formControlPr xmlns="http://schemas.microsoft.com/office/spreadsheetml/2009/9/main" objectType="CheckBox" fmlaLink="$C$10" lockText="1" noThreeD="1"/>
</file>

<file path=xl/ctrlProps/ctrlProp247.xml><?xml version="1.0" encoding="utf-8"?>
<formControlPr xmlns="http://schemas.microsoft.com/office/spreadsheetml/2009/9/main" objectType="CheckBox" fmlaLink="$C$11" lockText="1" noThreeD="1"/>
</file>

<file path=xl/ctrlProps/ctrlProp248.xml><?xml version="1.0" encoding="utf-8"?>
<formControlPr xmlns="http://schemas.microsoft.com/office/spreadsheetml/2009/9/main" objectType="CheckBox" fmlaLink="$C$12" lockText="1" noThreeD="1"/>
</file>

<file path=xl/ctrlProps/ctrlProp249.xml><?xml version="1.0" encoding="utf-8"?>
<formControlPr xmlns="http://schemas.microsoft.com/office/spreadsheetml/2009/9/main" objectType="CheckBox" fmlaLink="$C$13" lockText="1" noThreeD="1"/>
</file>

<file path=xl/ctrlProps/ctrlProp250.xml><?xml version="1.0" encoding="utf-8"?>
<formControlPr xmlns="http://schemas.microsoft.com/office/spreadsheetml/2009/9/main" objectType="CheckBox" checked="Checked" fmlaLink="$C$14" lockText="1" noThreeD="1"/>
</file>

<file path=xl/ctrlProps/ctrlProp251.xml><?xml version="1.0" encoding="utf-8"?>
<formControlPr xmlns="http://schemas.microsoft.com/office/spreadsheetml/2009/9/main" objectType="CheckBox" checked="Checked" fmlaLink="$C$15" lockText="1" noThreeD="1"/>
</file>

<file path=xl/ctrlProps/ctrlProp252.xml><?xml version="1.0" encoding="utf-8"?>
<formControlPr xmlns="http://schemas.microsoft.com/office/spreadsheetml/2009/9/main" objectType="CheckBox" checked="Checked" fmlaLink="$C$16" lockText="1" noThreeD="1"/>
</file>

<file path=xl/ctrlProps/ctrlProp253.xml><?xml version="1.0" encoding="utf-8"?>
<formControlPr xmlns="http://schemas.microsoft.com/office/spreadsheetml/2009/9/main" objectType="CheckBox" fmlaLink="$C$17" lockText="1" noThreeD="1"/>
</file>

<file path=xl/ctrlProps/ctrlProp254.xml><?xml version="1.0" encoding="utf-8"?>
<formControlPr xmlns="http://schemas.microsoft.com/office/spreadsheetml/2009/9/main" objectType="CheckBox" checked="Checked" fmlaLink="$C$18" lockText="1" noThreeD="1"/>
</file>

<file path=xl/ctrlProps/ctrlProp255.xml><?xml version="1.0" encoding="utf-8"?>
<formControlPr xmlns="http://schemas.microsoft.com/office/spreadsheetml/2009/9/main" objectType="CheckBox" checked="Checked" fmlaLink="$C$19" lockText="1" noThreeD="1"/>
</file>

<file path=xl/ctrlProps/ctrlProp256.xml><?xml version="1.0" encoding="utf-8"?>
<formControlPr xmlns="http://schemas.microsoft.com/office/spreadsheetml/2009/9/main" objectType="CheckBox" fmlaLink="$C$20" lockText="1" noThreeD="1"/>
</file>

<file path=xl/ctrlProps/ctrlProp257.xml><?xml version="1.0" encoding="utf-8"?>
<formControlPr xmlns="http://schemas.microsoft.com/office/spreadsheetml/2009/9/main" objectType="CheckBox" fmlaLink="$C$21" lockText="1" noThreeD="1"/>
</file>

<file path=xl/ctrlProps/ctrlProp258.xml><?xml version="1.0" encoding="utf-8"?>
<formControlPr xmlns="http://schemas.microsoft.com/office/spreadsheetml/2009/9/main" objectType="CheckBox" fmlaLink="$C$23" lockText="1" noThreeD="1"/>
</file>

<file path=xl/ctrlProps/ctrlProp259.xml><?xml version="1.0" encoding="utf-8"?>
<formControlPr xmlns="http://schemas.microsoft.com/office/spreadsheetml/2009/9/main" objectType="CheckBox" checked="Checked" fmlaLink="$C$29" noThreeD="1"/>
</file>

<file path=xl/ctrlProps/ctrlProp260.xml><?xml version="1.0" encoding="utf-8"?>
<formControlPr xmlns="http://schemas.microsoft.com/office/spreadsheetml/2009/9/main" objectType="CheckBox" fmlaLink="$C$30" lockText="1" noThreeD="1"/>
</file>

<file path=xl/ctrlProps/ctrlProp261.xml><?xml version="1.0" encoding="utf-8"?>
<formControlPr xmlns="http://schemas.microsoft.com/office/spreadsheetml/2009/9/main" objectType="CheckBox" checked="Checked" fmlaLink="$C$31" lockText="1" noThreeD="1"/>
</file>

<file path=xl/ctrlProps/ctrlProp262.xml><?xml version="1.0" encoding="utf-8"?>
<formControlPr xmlns="http://schemas.microsoft.com/office/spreadsheetml/2009/9/main" objectType="CheckBox" checked="Checked" fmlaLink="$C$32" lockText="1" noThreeD="1"/>
</file>

<file path=xl/ctrlProps/ctrlProp263.xml><?xml version="1.0" encoding="utf-8"?>
<formControlPr xmlns="http://schemas.microsoft.com/office/spreadsheetml/2009/9/main" objectType="CheckBox" fmlaLink="$C$33" lockText="1" noThreeD="1"/>
</file>

<file path=xl/ctrlProps/ctrlProp264.xml><?xml version="1.0" encoding="utf-8"?>
<formControlPr xmlns="http://schemas.microsoft.com/office/spreadsheetml/2009/9/main" objectType="CheckBox" checked="Checked" fmlaLink="$C$34" lockText="1" noThreeD="1"/>
</file>

<file path=xl/ctrlProps/ctrlProp265.xml><?xml version="1.0" encoding="utf-8"?>
<formControlPr xmlns="http://schemas.microsoft.com/office/spreadsheetml/2009/9/main" objectType="CheckBox" fmlaLink="$C$36" lockText="1" noThreeD="1"/>
</file>

<file path=xl/ctrlProps/ctrlProp266.xml><?xml version="1.0" encoding="utf-8"?>
<formControlPr xmlns="http://schemas.microsoft.com/office/spreadsheetml/2009/9/main" objectType="CheckBox" fmlaLink="$C$37" lockText="1" noThreeD="1"/>
</file>

<file path=xl/ctrlProps/ctrlProp267.xml><?xml version="1.0" encoding="utf-8"?>
<formControlPr xmlns="http://schemas.microsoft.com/office/spreadsheetml/2009/9/main" objectType="CheckBox" checked="Checked" fmlaLink="$C$39" lockText="1" noThreeD="1"/>
</file>

<file path=xl/ctrlProps/ctrlProp268.xml><?xml version="1.0" encoding="utf-8"?>
<formControlPr xmlns="http://schemas.microsoft.com/office/spreadsheetml/2009/9/main" objectType="CheckBox" checked="Checked" fmlaLink="$C$40" lockText="1" noThreeD="1"/>
</file>

<file path=xl/ctrlProps/ctrlProp269.xml><?xml version="1.0" encoding="utf-8"?>
<formControlPr xmlns="http://schemas.microsoft.com/office/spreadsheetml/2009/9/main" objectType="CheckBox" checked="Checked" fmlaLink="$C$41" lockText="1" noThreeD="1"/>
</file>

<file path=xl/ctrlProps/ctrlProp270.xml><?xml version="1.0" encoding="utf-8"?>
<formControlPr xmlns="http://schemas.microsoft.com/office/spreadsheetml/2009/9/main" objectType="CheckBox" fmlaLink="$C$22" lockText="1" noThreeD="1"/>
</file>

<file path=xl/ctrlProps/ctrlProp271.xml><?xml version="1.0" encoding="utf-8"?>
<formControlPr xmlns="http://schemas.microsoft.com/office/spreadsheetml/2009/9/main" objectType="CheckBox" fmlaLink="$C$35" lockText="1" noThreeD="1"/>
</file>

<file path=xl/ctrlProps/ctrlProp272.xml><?xml version="1.0" encoding="utf-8"?>
<formControlPr xmlns="http://schemas.microsoft.com/office/spreadsheetml/2009/9/main" objectType="CheckBox" fmlaLink="$C$38" lockText="1" noThreeD="1"/>
</file>

<file path=xl/ctrlProps/ctrlProp273.xml><?xml version="1.0" encoding="utf-8"?>
<formControlPr xmlns="http://schemas.microsoft.com/office/spreadsheetml/2009/9/main" objectType="CheckBox" checked="Checked" fmlaLink="D16" lockText="1" noThreeD="1"/>
</file>

<file path=xl/ctrlProps/ctrlProp274.xml><?xml version="1.0" encoding="utf-8"?>
<formControlPr xmlns="http://schemas.microsoft.com/office/spreadsheetml/2009/9/main" objectType="CheckBox" checked="Checked" fmlaLink="D17" lockText="1" noThreeD="1"/>
</file>

<file path=xl/ctrlProps/ctrlProp275.xml><?xml version="1.0" encoding="utf-8"?>
<formControlPr xmlns="http://schemas.microsoft.com/office/spreadsheetml/2009/9/main" objectType="CheckBox" checked="Checked" fmlaLink="D18" lockText="1" noThreeD="1"/>
</file>

<file path=xl/ctrlProps/ctrlProp276.xml><?xml version="1.0" encoding="utf-8"?>
<formControlPr xmlns="http://schemas.microsoft.com/office/spreadsheetml/2009/9/main" objectType="CheckBox" checked="Checked" fmlaLink="D19" lockText="1" noThreeD="1"/>
</file>

<file path=xl/ctrlProps/ctrlProp277.xml><?xml version="1.0" encoding="utf-8"?>
<formControlPr xmlns="http://schemas.microsoft.com/office/spreadsheetml/2009/9/main" objectType="CheckBox" checked="Checked" fmlaLink="D20" lockText="1" noThreeD="1"/>
</file>

<file path=xl/ctrlProps/ctrlProp278.xml><?xml version="1.0" encoding="utf-8"?>
<formControlPr xmlns="http://schemas.microsoft.com/office/spreadsheetml/2009/9/main" objectType="CheckBox" checked="Checked" fmlaLink="D21" lockText="1" noThreeD="1"/>
</file>

<file path=xl/ctrlProps/ctrlProp279.xml><?xml version="1.0" encoding="utf-8"?>
<formControlPr xmlns="http://schemas.microsoft.com/office/spreadsheetml/2009/9/main" objectType="CheckBox" checked="Checked" fmlaLink="D22" lockText="1" noThreeD="1"/>
</file>

<file path=xl/ctrlProps/ctrlProp280.xml><?xml version="1.0" encoding="utf-8"?>
<formControlPr xmlns="http://schemas.microsoft.com/office/spreadsheetml/2009/9/main" objectType="CheckBox" checked="Checked" fmlaLink="D23" lockText="1" noThreeD="1"/>
</file>

<file path=xl/ctrlProps/ctrlProp281.xml><?xml version="1.0" encoding="utf-8"?>
<formControlPr xmlns="http://schemas.microsoft.com/office/spreadsheetml/2009/9/main" objectType="CheckBox" fmlaLink="D24" lockText="1" noThreeD="1"/>
</file>

<file path=xl/ctrlProps/ctrlProp282.xml><?xml version="1.0" encoding="utf-8"?>
<formControlPr xmlns="http://schemas.microsoft.com/office/spreadsheetml/2009/9/main" objectType="CheckBox" fmlaLink="D25" lockText="1" noThreeD="1"/>
</file>

<file path=xl/ctrlProps/ctrlProp283.xml><?xml version="1.0" encoding="utf-8"?>
<formControlPr xmlns="http://schemas.microsoft.com/office/spreadsheetml/2009/9/main" objectType="CheckBox" checked="Checked" fmlaLink="D26" lockText="1" noThreeD="1"/>
</file>

<file path=xl/ctrlProps/ctrlProp284.xml><?xml version="1.0" encoding="utf-8"?>
<formControlPr xmlns="http://schemas.microsoft.com/office/spreadsheetml/2009/9/main" objectType="CheckBox" checked="Checked" fmlaLink="D27" lockText="1" noThreeD="1"/>
</file>

<file path=xl/ctrlProps/ctrlProp285.xml><?xml version="1.0" encoding="utf-8"?>
<formControlPr xmlns="http://schemas.microsoft.com/office/spreadsheetml/2009/9/main" objectType="CheckBox" checked="Checked" fmlaLink="D28" lockText="1" noThreeD="1"/>
</file>

<file path=xl/ctrlProps/ctrlProp286.xml><?xml version="1.0" encoding="utf-8"?>
<formControlPr xmlns="http://schemas.microsoft.com/office/spreadsheetml/2009/9/main" objectType="CheckBox" checked="Checked" fmlaLink="D29" lockText="1" noThreeD="1"/>
</file>

<file path=xl/ctrlProps/ctrlProp287.xml><?xml version="1.0" encoding="utf-8"?>
<formControlPr xmlns="http://schemas.microsoft.com/office/spreadsheetml/2009/9/main" objectType="CheckBox" checked="Checked" fmlaLink="D30" lockText="1" noThreeD="1"/>
</file>

<file path=xl/ctrlProps/ctrlProp288.xml><?xml version="1.0" encoding="utf-8"?>
<formControlPr xmlns="http://schemas.microsoft.com/office/spreadsheetml/2009/9/main" objectType="CheckBox" checked="Checked" fmlaLink="D31" lockText="1" noThreeD="1"/>
</file>

<file path=xl/ctrlProps/ctrlProp289.xml><?xml version="1.0" encoding="utf-8"?>
<formControlPr xmlns="http://schemas.microsoft.com/office/spreadsheetml/2009/9/main" objectType="CheckBox" checked="Checked" fmlaLink="D32" lockText="1" noThreeD="1"/>
</file>

<file path=xl/ctrlProps/ctrlProp290.xml><?xml version="1.0" encoding="utf-8"?>
<formControlPr xmlns="http://schemas.microsoft.com/office/spreadsheetml/2009/9/main" objectType="CheckBox" checked="Checked" fmlaLink="D33" lockText="1" noThreeD="1"/>
</file>

<file path=xl/ctrlProps/ctrlProp291.xml><?xml version="1.0" encoding="utf-8"?>
<formControlPr xmlns="http://schemas.microsoft.com/office/spreadsheetml/2009/9/main" objectType="CheckBox" checked="Checked" fmlaLink="D34" lockText="1" noThreeD="1"/>
</file>

<file path=xl/ctrlProps/ctrlProp292.xml><?xml version="1.0" encoding="utf-8"?>
<formControlPr xmlns="http://schemas.microsoft.com/office/spreadsheetml/2009/9/main" objectType="CheckBox" fmlaLink="D35" lockText="1" noThreeD="1"/>
</file>

<file path=xl/ctrlProps/ctrlProp293.xml><?xml version="1.0" encoding="utf-8"?>
<formControlPr xmlns="http://schemas.microsoft.com/office/spreadsheetml/2009/9/main" objectType="CheckBox" fmlaLink="D36" lockText="1" noThreeD="1"/>
</file>

<file path=xl/ctrlProps/ctrlProp294.xml><?xml version="1.0" encoding="utf-8"?>
<formControlPr xmlns="http://schemas.microsoft.com/office/spreadsheetml/2009/9/main" objectType="CheckBox" fmlaLink="I40" lockText="1" noThreeD="1"/>
</file>

<file path=xl/ctrlProps/ctrlProp295.xml><?xml version="1.0" encoding="utf-8"?>
<formControlPr xmlns="http://schemas.microsoft.com/office/spreadsheetml/2009/9/main" objectType="CheckBox" fmlaLink="I41" lockText="1" noThreeD="1"/>
</file>

<file path=xl/ctrlProps/ctrlProp296.xml><?xml version="1.0" encoding="utf-8"?>
<formControlPr xmlns="http://schemas.microsoft.com/office/spreadsheetml/2009/9/main" objectType="CheckBox" fmlaLink="I42" lockText="1" noThreeD="1"/>
</file>

<file path=xl/ctrlProps/ctrlProp297.xml><?xml version="1.0" encoding="utf-8"?>
<formControlPr xmlns="http://schemas.microsoft.com/office/spreadsheetml/2009/9/main" objectType="CheckBox" fmlaLink="J40" lockText="1" noThreeD="1"/>
</file>

<file path=xl/ctrlProps/ctrlProp298.xml><?xml version="1.0" encoding="utf-8"?>
<formControlPr xmlns="http://schemas.microsoft.com/office/spreadsheetml/2009/9/main" objectType="CheckBox" fmlaLink="J41" lockText="1" noThreeD="1"/>
</file>

<file path=xl/ctrlProps/ctrlProp299.xml><?xml version="1.0" encoding="utf-8"?>
<formControlPr xmlns="http://schemas.microsoft.com/office/spreadsheetml/2009/9/main" objectType="CheckBox" fmlaLink="J42" lockText="1" noThreeD="1"/>
</file>

<file path=xl/ctrlProps/ctrlProp300.xml><?xml version="1.0" encoding="utf-8"?>
<formControlPr xmlns="http://schemas.microsoft.com/office/spreadsheetml/2009/9/main" objectType="CheckBox" checked="Checked" fmlaLink="D46" lockText="1" noThreeD="1"/>
</file>

<file path=xl/ctrlProps/ctrlProp301.xml><?xml version="1.0" encoding="utf-8"?>
<formControlPr xmlns="http://schemas.microsoft.com/office/spreadsheetml/2009/9/main" objectType="CheckBox" fmlaLink="D47" lockText="1" noThreeD="1"/>
</file>

<file path=xl/ctrlProps/ctrlProp302.xml><?xml version="1.0" encoding="utf-8"?>
<formControlPr xmlns="http://schemas.microsoft.com/office/spreadsheetml/2009/9/main" objectType="CheckBox" checked="Checked" fmlaLink="D48" lockText="1" noThreeD="1"/>
</file>

<file path=xl/ctrlProps/ctrlProp303.xml><?xml version="1.0" encoding="utf-8"?>
<formControlPr xmlns="http://schemas.microsoft.com/office/spreadsheetml/2009/9/main" objectType="CheckBox" fmlaLink="D49" lockText="1" noThreeD="1"/>
</file>

<file path=xl/ctrlProps/ctrlProp304.xml><?xml version="1.0" encoding="utf-8"?>
<formControlPr xmlns="http://schemas.microsoft.com/office/spreadsheetml/2009/9/main" objectType="CheckBox" checked="Checked" fmlaLink="D50" lockText="1" noThreeD="1"/>
</file>

<file path=xl/ctrlProps/ctrlProp305.xml><?xml version="1.0" encoding="utf-8"?>
<formControlPr xmlns="http://schemas.microsoft.com/office/spreadsheetml/2009/9/main" objectType="CheckBox" checked="Checked" fmlaLink="D51" lockText="1" noThreeD="1"/>
</file>

<file path=xl/ctrlProps/ctrlProp306.xml><?xml version="1.0" encoding="utf-8"?>
<formControlPr xmlns="http://schemas.microsoft.com/office/spreadsheetml/2009/9/main" objectType="CheckBox" checked="Checked" fmlaLink="D52" lockText="1" noThreeD="1"/>
</file>

<file path=xl/ctrlProps/ctrlProp307.xml><?xml version="1.0" encoding="utf-8"?>
<formControlPr xmlns="http://schemas.microsoft.com/office/spreadsheetml/2009/9/main" objectType="CheckBox" checked="Checked" fmlaLink="D53" lockText="1" noThreeD="1"/>
</file>

<file path=xl/ctrlProps/ctrlProp308.xml><?xml version="1.0" encoding="utf-8"?>
<formControlPr xmlns="http://schemas.microsoft.com/office/spreadsheetml/2009/9/main" objectType="CheckBox" fmlaLink="D55" lockText="1" noThreeD="1"/>
</file>

<file path=xl/ctrlProps/ctrlProp309.xml><?xml version="1.0" encoding="utf-8"?>
<formControlPr xmlns="http://schemas.microsoft.com/office/spreadsheetml/2009/9/main" objectType="CheckBox" checked="Checked" fmlaLink="D56" lockText="1" noThreeD="1"/>
</file>

<file path=xl/ctrlProps/ctrlProp310.xml><?xml version="1.0" encoding="utf-8"?>
<formControlPr xmlns="http://schemas.microsoft.com/office/spreadsheetml/2009/9/main" objectType="CheckBox" checked="Checked" fmlaLink="D57" lockText="1" noThreeD="1"/>
</file>

<file path=xl/ctrlProps/ctrlProp311.xml><?xml version="1.0" encoding="utf-8"?>
<formControlPr xmlns="http://schemas.microsoft.com/office/spreadsheetml/2009/9/main" objectType="CheckBox" checked="Checked" fmlaLink="D58" lockText="1" noThreeD="1"/>
</file>

<file path=xl/ctrlProps/ctrlProp312.xml><?xml version="1.0" encoding="utf-8"?>
<formControlPr xmlns="http://schemas.microsoft.com/office/spreadsheetml/2009/9/main" objectType="CheckBox" fmlaLink="$H$41" lockText="1" noThreeD="1"/>
</file>

<file path=xl/ctrlProps/ctrlProp313.xml><?xml version="1.0" encoding="utf-8"?>
<formControlPr xmlns="http://schemas.microsoft.com/office/spreadsheetml/2009/9/main" objectType="CheckBox" fmlaLink="$D$54" lockText="1" noThreeD="1"/>
</file>

<file path=xl/ctrlProps/ctrlProp314.xml><?xml version="1.0" encoding="utf-8"?>
<formControlPr xmlns="http://schemas.microsoft.com/office/spreadsheetml/2009/9/main" objectType="CheckBox" fmlaLink="$F$11" lockText="1" noThreeD="1"/>
</file>

<file path=xl/ctrlProps/ctrlProp315.xml><?xml version="1.0" encoding="utf-8"?>
<formControlPr xmlns="http://schemas.microsoft.com/office/spreadsheetml/2009/9/main" objectType="CheckBox" fmlaLink="D40" lockText="1" noThreeD="1"/>
</file>

<file path=xl/ctrlProps/ctrlProp316.xml><?xml version="1.0" encoding="utf-8"?>
<formControlPr xmlns="http://schemas.microsoft.com/office/spreadsheetml/2009/9/main" objectType="CheckBox" fmlaLink="D41" lockText="1" noThreeD="1"/>
</file>

<file path=xl/ctrlProps/ctrlProp317.xml><?xml version="1.0" encoding="utf-8"?>
<formControlPr xmlns="http://schemas.microsoft.com/office/spreadsheetml/2009/9/main" objectType="CheckBox" checked="Checked" fmlaLink="D42" lockText="1" noThreeD="1"/>
</file>

<file path=xl/ctrlProps/ctrlProp318.xml><?xml version="1.0" encoding="utf-8"?>
<formControlPr xmlns="http://schemas.microsoft.com/office/spreadsheetml/2009/9/main" objectType="Radio" checked="Checked" firstButton="1" fmlaLink="E121" lockText="1" noThreeD="1"/>
</file>

<file path=xl/ctrlProps/ctrlProp319.xml><?xml version="1.0" encoding="utf-8"?>
<formControlPr xmlns="http://schemas.microsoft.com/office/spreadsheetml/2009/9/main" objectType="Radio" lockText="1" noThreeD="1"/>
</file>

<file path=xl/ctrlProps/ctrlProp320.xml><?xml version="1.0" encoding="utf-8"?>
<formControlPr xmlns="http://schemas.microsoft.com/office/spreadsheetml/2009/9/main" objectType="Radio" lockText="1" noThreeD="1"/>
</file>

<file path=xl/ctrlProps/ctrlProp321.xml><?xml version="1.0" encoding="utf-8"?>
<formControlPr xmlns="http://schemas.microsoft.com/office/spreadsheetml/2009/9/main" objectType="CheckBox" fmlaLink="E133" lockText="1" noThreeD="1"/>
</file>

<file path=xl/ctrlProps/ctrlProp322.xml><?xml version="1.0" encoding="utf-8"?>
<formControlPr xmlns="http://schemas.microsoft.com/office/spreadsheetml/2009/9/main" objectType="CheckBox" fmlaLink="E135" lockText="1" noThreeD="1"/>
</file>

<file path=xl/ctrlProps/ctrlProp323.xml><?xml version="1.0" encoding="utf-8"?>
<formControlPr xmlns="http://schemas.microsoft.com/office/spreadsheetml/2009/9/main" objectType="CheckBox" fmlaLink="E134" lockText="1" noThreeD="1"/>
</file>

<file path=xl/ctrlProps/ctrlProp324.xml><?xml version="1.0" encoding="utf-8"?>
<formControlPr xmlns="http://schemas.microsoft.com/office/spreadsheetml/2009/9/main" objectType="CheckBox" fmlaLink="E136" lockText="1" noThreeD="1"/>
</file>

<file path=xl/ctrlProps/ctrlProp325.xml><?xml version="1.0" encoding="utf-8"?>
<formControlPr xmlns="http://schemas.microsoft.com/office/spreadsheetml/2009/9/main" objectType="CheckBox" checked="Checked" fmlaLink="E137" lockText="1" noThreeD="1"/>
</file>

<file path=xl/ctrlProps/ctrlProp326.xml><?xml version="1.0" encoding="utf-8"?>
<formControlPr xmlns="http://schemas.microsoft.com/office/spreadsheetml/2009/9/main" objectType="CheckBox" checked="Checked" fmlaLink="E144" lockText="1" noThreeD="1"/>
</file>

<file path=xl/ctrlProps/ctrlProp327.xml><?xml version="1.0" encoding="utf-8"?>
<formControlPr xmlns="http://schemas.microsoft.com/office/spreadsheetml/2009/9/main" objectType="CheckBox" fmlaLink="E145" lockText="1" noThreeD="1"/>
</file>

<file path=xl/ctrlProps/ctrlProp328.xml><?xml version="1.0" encoding="utf-8"?>
<formControlPr xmlns="http://schemas.microsoft.com/office/spreadsheetml/2009/9/main" objectType="CheckBox" checked="Checked" fmlaLink="E146" lockText="1" noThreeD="1"/>
</file>

<file path=xl/ctrlProps/ctrlProp329.xml><?xml version="1.0" encoding="utf-8"?>
<formControlPr xmlns="http://schemas.microsoft.com/office/spreadsheetml/2009/9/main" objectType="CheckBox" fmlaLink="E147" lockText="1" noThreeD="1"/>
</file>

<file path=xl/ctrlProps/ctrlProp330.xml><?xml version="1.0" encoding="utf-8"?>
<formControlPr xmlns="http://schemas.microsoft.com/office/spreadsheetml/2009/9/main" objectType="CheckBox" fmlaLink="E148" lockText="1" noThreeD="1"/>
</file>

<file path=xl/ctrlProps/ctrlProp331.xml><?xml version="1.0" encoding="utf-8"?>
<formControlPr xmlns="http://schemas.microsoft.com/office/spreadsheetml/2009/9/main" objectType="CheckBox" fmlaLink="E149" lockText="1" noThreeD="1"/>
</file>

<file path=xl/ctrlProps/ctrlProp332.xml><?xml version="1.0" encoding="utf-8"?>
<formControlPr xmlns="http://schemas.microsoft.com/office/spreadsheetml/2009/9/main" objectType="CheckBox" fmlaLink="E150" lockText="1" noThreeD="1"/>
</file>

<file path=xl/ctrlProps/ctrlProp333.xml><?xml version="1.0" encoding="utf-8"?>
<formControlPr xmlns="http://schemas.microsoft.com/office/spreadsheetml/2009/9/main" objectType="CheckBox" fmlaLink="$D$157" lockText="1" noThreeD="1"/>
</file>

<file path=xl/ctrlProps/ctrlProp334.xml><?xml version="1.0" encoding="utf-8"?>
<formControlPr xmlns="http://schemas.microsoft.com/office/spreadsheetml/2009/9/main" objectType="CheckBox" checked="Checked" fmlaLink="$E$179" lockText="1" noThreeD="1"/>
</file>

<file path=xl/ctrlProps/ctrlProp335.xml><?xml version="1.0" encoding="utf-8"?>
<formControlPr xmlns="http://schemas.microsoft.com/office/spreadsheetml/2009/9/main" objectType="CheckBox" checked="Checked" fmlaLink="$E$180" lockText="1" noThreeD="1"/>
</file>

<file path=xl/ctrlProps/ctrlProp336.xml><?xml version="1.0" encoding="utf-8"?>
<formControlPr xmlns="http://schemas.microsoft.com/office/spreadsheetml/2009/9/main" objectType="CheckBox" checked="Checked" fmlaLink="$E$181" lockText="1" noThreeD="1"/>
</file>

<file path=xl/ctrlProps/ctrlProp337.xml><?xml version="1.0" encoding="utf-8"?>
<formControlPr xmlns="http://schemas.microsoft.com/office/spreadsheetml/2009/9/main" objectType="CheckBox" fmlaLink="$E$182" lockText="1" noThreeD="1"/>
</file>

<file path=xl/ctrlProps/ctrlProp338.xml><?xml version="1.0" encoding="utf-8"?>
<formControlPr xmlns="http://schemas.microsoft.com/office/spreadsheetml/2009/9/main" objectType="CheckBox" fmlaLink="$E$183" lockText="1" noThreeD="1"/>
</file>

<file path=xl/ctrlProps/ctrlProp339.xml><?xml version="1.0" encoding="utf-8"?>
<formControlPr xmlns="http://schemas.microsoft.com/office/spreadsheetml/2009/9/main" objectType="CheckBox" fmlaLink="$E$184" lockText="1" noThreeD="1"/>
</file>

<file path=xl/ctrlProps/ctrlProp340.xml><?xml version="1.0" encoding="utf-8"?>
<formControlPr xmlns="http://schemas.microsoft.com/office/spreadsheetml/2009/9/main" objectType="CheckBox" checked="Checked" fmlaLink="$E$185" lockText="1" noThreeD="1"/>
</file>

<file path=xl/ctrlProps/ctrlProp341.xml><?xml version="1.0" encoding="utf-8"?>
<formControlPr xmlns="http://schemas.microsoft.com/office/spreadsheetml/2009/9/main" objectType="CheckBox" fmlaLink="$E$186" lockText="1" noThreeD="1"/>
</file>

<file path=xl/ctrlProps/ctrlProp342.xml><?xml version="1.0" encoding="utf-8"?>
<formControlPr xmlns="http://schemas.microsoft.com/office/spreadsheetml/2009/9/main" objectType="CheckBox" checked="Checked" fmlaLink="$E$191" lockText="1" noThreeD="1"/>
</file>

<file path=xl/ctrlProps/ctrlProp343.xml><?xml version="1.0" encoding="utf-8"?>
<formControlPr xmlns="http://schemas.microsoft.com/office/spreadsheetml/2009/9/main" objectType="CheckBox" checked="Checked" fmlaLink="$E$192" lockText="1" noThreeD="1"/>
</file>

<file path=xl/ctrlProps/ctrlProp344.xml><?xml version="1.0" encoding="utf-8"?>
<formControlPr xmlns="http://schemas.microsoft.com/office/spreadsheetml/2009/9/main" objectType="CheckBox" checked="Checked" fmlaLink="$E$193" lockText="1" noThreeD="1"/>
</file>

<file path=xl/ctrlProps/ctrlProp345.xml><?xml version="1.0" encoding="utf-8"?>
<formControlPr xmlns="http://schemas.microsoft.com/office/spreadsheetml/2009/9/main" objectType="CheckBox" checked="Checked" fmlaLink="$E$194" lockText="1" noThreeD="1"/>
</file>

<file path=xl/ctrlProps/ctrlProp346.xml><?xml version="1.0" encoding="utf-8"?>
<formControlPr xmlns="http://schemas.microsoft.com/office/spreadsheetml/2009/9/main" objectType="CheckBox" checked="Checked" fmlaLink="$E$195" lockText="1" noThreeD="1"/>
</file>

<file path=xl/ctrlProps/ctrlProp347.xml><?xml version="1.0" encoding="utf-8"?>
<formControlPr xmlns="http://schemas.microsoft.com/office/spreadsheetml/2009/9/main" objectType="CheckBox" fmlaLink="$E$196" lockText="1" noThreeD="1"/>
</file>

<file path=xl/ctrlProps/ctrlProp348.xml><?xml version="1.0" encoding="utf-8"?>
<formControlPr xmlns="http://schemas.microsoft.com/office/spreadsheetml/2009/9/main" objectType="CheckBox" fmlaLink="$E$197" lockText="1" noThreeD="1"/>
</file>

<file path=xl/ctrlProps/ctrlProp349.xml><?xml version="1.0" encoding="utf-8"?>
<formControlPr xmlns="http://schemas.microsoft.com/office/spreadsheetml/2009/9/main" objectType="CheckBox" fmlaLink="$E$198" lockText="1" noThreeD="1"/>
</file>

<file path=xl/ctrlProps/ctrlProp350.xml><?xml version="1.0" encoding="utf-8"?>
<formControlPr xmlns="http://schemas.microsoft.com/office/spreadsheetml/2009/9/main" objectType="CheckBox" checked="Checked" fmlaLink="$F$203" lockText="1" noThreeD="1"/>
</file>

<file path=xl/ctrlProps/ctrlProp351.xml><?xml version="1.0" encoding="utf-8"?>
<formControlPr xmlns="http://schemas.microsoft.com/office/spreadsheetml/2009/9/main" objectType="CheckBox" fmlaLink="$F$204" lockText="1" noThreeD="1"/>
</file>

<file path=xl/ctrlProps/ctrlProp352.xml><?xml version="1.0" encoding="utf-8"?>
<formControlPr xmlns="http://schemas.microsoft.com/office/spreadsheetml/2009/9/main" objectType="CheckBox" checked="Checked" fmlaLink="$F$205" lockText="1" noThreeD="1"/>
</file>

<file path=xl/ctrlProps/ctrlProp353.xml><?xml version="1.0" encoding="utf-8"?>
<formControlPr xmlns="http://schemas.microsoft.com/office/spreadsheetml/2009/9/main" objectType="CheckBox" fmlaLink="$F$206" lockText="1" noThreeD="1"/>
</file>

<file path=xl/ctrlProps/ctrlProp354.xml><?xml version="1.0" encoding="utf-8"?>
<formControlPr xmlns="http://schemas.microsoft.com/office/spreadsheetml/2009/9/main" objectType="CheckBox" fmlaLink="$F$207" lockText="1" noThreeD="1"/>
</file>

<file path=xl/ctrlProps/ctrlProp355.xml><?xml version="1.0" encoding="utf-8"?>
<formControlPr xmlns="http://schemas.microsoft.com/office/spreadsheetml/2009/9/main" objectType="CheckBox" fmlaLink="$F$208" lockText="1" noThreeD="1"/>
</file>

<file path=xl/ctrlProps/ctrlProp356.xml><?xml version="1.0" encoding="utf-8"?>
<formControlPr xmlns="http://schemas.microsoft.com/office/spreadsheetml/2009/9/main" objectType="CheckBox" fmlaLink="$F$209" lockText="1" noThreeD="1"/>
</file>

<file path=xl/ctrlProps/ctrlProp357.xml><?xml version="1.0" encoding="utf-8"?>
<formControlPr xmlns="http://schemas.microsoft.com/office/spreadsheetml/2009/9/main" objectType="CheckBox" fmlaLink="$F$210" lockText="1" noThreeD="1"/>
</file>

<file path=xl/ctrlProps/ctrlProp358.xml><?xml version="1.0" encoding="utf-8"?>
<formControlPr xmlns="http://schemas.microsoft.com/office/spreadsheetml/2009/9/main" objectType="CheckBox" checked="Checked" fmlaLink="$F$211" lockText="1" noThreeD="1"/>
</file>

<file path=xl/ctrlProps/ctrlProp359.xml><?xml version="1.0" encoding="utf-8"?>
<formControlPr xmlns="http://schemas.microsoft.com/office/spreadsheetml/2009/9/main" objectType="CheckBox" fmlaLink="$F$212" lockText="1" noThreeD="1"/>
</file>

<file path=xl/ctrlProps/ctrlProp360.xml><?xml version="1.0" encoding="utf-8"?>
<formControlPr xmlns="http://schemas.microsoft.com/office/spreadsheetml/2009/9/main" objectType="CheckBox" fmlaLink="$F$213" lockText="1" noThreeD="1"/>
</file>

<file path=xl/ctrlProps/ctrlProp361.xml><?xml version="1.0" encoding="utf-8"?>
<formControlPr xmlns="http://schemas.microsoft.com/office/spreadsheetml/2009/9/main" objectType="CheckBox" fmlaLink="$XFC$203" lockText="1" noThreeD="1"/>
</file>

<file path=xl/ctrlProps/ctrlProp362.xml><?xml version="1.0" encoding="utf-8"?>
<formControlPr xmlns="http://schemas.microsoft.com/office/spreadsheetml/2009/9/main" objectType="CheckBox" fmlaLink="$XFC$204" lockText="1" noThreeD="1"/>
</file>

<file path=xl/ctrlProps/ctrlProp363.xml><?xml version="1.0" encoding="utf-8"?>
<formControlPr xmlns="http://schemas.microsoft.com/office/spreadsheetml/2009/9/main" objectType="CheckBox" fmlaLink="$XFC$205" lockText="1" noThreeD="1"/>
</file>

<file path=xl/ctrlProps/ctrlProp364.xml><?xml version="1.0" encoding="utf-8"?>
<formControlPr xmlns="http://schemas.microsoft.com/office/spreadsheetml/2009/9/main" objectType="CheckBox" fmlaLink="$XFC$206" lockText="1" noThreeD="1"/>
</file>

<file path=xl/ctrlProps/ctrlProp365.xml><?xml version="1.0" encoding="utf-8"?>
<formControlPr xmlns="http://schemas.microsoft.com/office/spreadsheetml/2009/9/main" objectType="CheckBox" fmlaLink="$XFC$207" lockText="1" noThreeD="1"/>
</file>

<file path=xl/ctrlProps/ctrlProp366.xml><?xml version="1.0" encoding="utf-8"?>
<formControlPr xmlns="http://schemas.microsoft.com/office/spreadsheetml/2009/9/main" objectType="CheckBox" fmlaLink="$XFC$209" lockText="1" noThreeD="1"/>
</file>

<file path=xl/ctrlProps/ctrlProp367.xml><?xml version="1.0" encoding="utf-8"?>
<formControlPr xmlns="http://schemas.microsoft.com/office/spreadsheetml/2009/9/main" objectType="CheckBox" fmlaLink="$XFC$210" lockText="1" noThreeD="1"/>
</file>

<file path=xl/ctrlProps/ctrlProp368.xml><?xml version="1.0" encoding="utf-8"?>
<formControlPr xmlns="http://schemas.microsoft.com/office/spreadsheetml/2009/9/main" objectType="CheckBox" fmlaLink="$XFC$211" lockText="1" noThreeD="1"/>
</file>

<file path=xl/ctrlProps/ctrlProp369.xml><?xml version="1.0" encoding="utf-8"?>
<formControlPr xmlns="http://schemas.microsoft.com/office/spreadsheetml/2009/9/main" objectType="CheckBox" fmlaLink="$XFC$212" lockText="1" noThreeD="1"/>
</file>

<file path=xl/ctrlProps/ctrlProp370.xml><?xml version="1.0" encoding="utf-8"?>
<formControlPr xmlns="http://schemas.microsoft.com/office/spreadsheetml/2009/9/main" objectType="CheckBox" fmlaLink="$XFC$21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20670</xdr:colOff>
          <xdr:row>53</xdr:row>
          <xdr:rowOff>10880</xdr:rowOff>
        </xdr:from>
        <xdr:to>
          <xdr:col>0</xdr:col>
          <xdr:colOff>267281</xdr:colOff>
          <xdr:row>56</xdr:row>
          <xdr:rowOff>15966</xdr:rowOff>
        </xdr:to>
        <xdr:grpSp>
          <xdr:nvGrpSpPr>
            <xdr:cNvPr id="2" name="Group 1">
              <a:extLst>
                <a:ext uri="{FF2B5EF4-FFF2-40B4-BE49-F238E27FC236}">
                  <a16:creationId xmlns:a16="http://schemas.microsoft.com/office/drawing/2014/main" id="{00000000-0008-0000-0100-000002000000}"/>
                </a:ext>
              </a:extLst>
            </xdr:cNvPr>
            <xdr:cNvGrpSpPr/>
          </xdr:nvGrpSpPr>
          <xdr:grpSpPr>
            <a:xfrm>
              <a:off x="20670" y="11285867"/>
              <a:ext cx="246611" cy="605106"/>
              <a:chOff x="29521" y="7779813"/>
              <a:chExt cx="249879" cy="239712"/>
            </a:xfrm>
          </xdr:grpSpPr>
          <xdr:sp macro="" textlink="">
            <xdr:nvSpPr>
              <xdr:cNvPr id="13313" name="Option Button 1" hidden="1">
                <a:extLst>
                  <a:ext uri="{63B3BB69-23CF-44E3-9099-C40C66FF867C}">
                    <a14:compatExt spid="_x0000_s13313"/>
                  </a:ext>
                  <a:ext uri="{FF2B5EF4-FFF2-40B4-BE49-F238E27FC236}">
                    <a16:creationId xmlns:a16="http://schemas.microsoft.com/office/drawing/2014/main" id="{00000000-0008-0000-0100-000001340000}"/>
                  </a:ext>
                </a:extLst>
              </xdr:cNvPr>
              <xdr:cNvSpPr/>
            </xdr:nvSpPr>
            <xdr:spPr bwMode="auto">
              <a:xfrm>
                <a:off x="36635" y="7779813"/>
                <a:ext cx="241788" cy="90366"/>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3314" name="Option Button 2" hidden="1">
                <a:extLst>
                  <a:ext uri="{63B3BB69-23CF-44E3-9099-C40C66FF867C}">
                    <a14:compatExt spid="_x0000_s13314"/>
                  </a:ext>
                  <a:ext uri="{FF2B5EF4-FFF2-40B4-BE49-F238E27FC236}">
                    <a16:creationId xmlns:a16="http://schemas.microsoft.com/office/drawing/2014/main" id="{00000000-0008-0000-0100-000002340000}"/>
                  </a:ext>
                </a:extLst>
              </xdr:cNvPr>
              <xdr:cNvSpPr/>
            </xdr:nvSpPr>
            <xdr:spPr bwMode="auto">
              <a:xfrm>
                <a:off x="29521" y="7854977"/>
                <a:ext cx="241300" cy="9525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3315" name="Option Button 3" hidden="1">
                <a:extLst>
                  <a:ext uri="{63B3BB69-23CF-44E3-9099-C40C66FF867C}">
                    <a14:compatExt spid="_x0000_s13315"/>
                  </a:ext>
                  <a:ext uri="{FF2B5EF4-FFF2-40B4-BE49-F238E27FC236}">
                    <a16:creationId xmlns:a16="http://schemas.microsoft.com/office/drawing/2014/main" id="{00000000-0008-0000-0100-000003340000}"/>
                  </a:ext>
                </a:extLst>
              </xdr:cNvPr>
              <xdr:cNvSpPr/>
            </xdr:nvSpPr>
            <xdr:spPr bwMode="auto">
              <a:xfrm>
                <a:off x="38100" y="7923300"/>
                <a:ext cx="241300" cy="9622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grpSp>
        <xdr:clientData/>
      </xdr:twoCellAnchor>
    </mc:Choice>
    <mc:Fallback/>
  </mc:AlternateContent>
  <xdr:twoCellAnchor>
    <xdr:from>
      <xdr:col>0</xdr:col>
      <xdr:colOff>5874</xdr:colOff>
      <xdr:row>77</xdr:row>
      <xdr:rowOff>160214</xdr:rowOff>
    </xdr:from>
    <xdr:to>
      <xdr:col>2</xdr:col>
      <xdr:colOff>6390</xdr:colOff>
      <xdr:row>89</xdr:row>
      <xdr:rowOff>150527</xdr:rowOff>
    </xdr:to>
    <xdr:grpSp>
      <xdr:nvGrpSpPr>
        <xdr:cNvPr id="3" name="Group 2">
          <a:extLst>
            <a:ext uri="{FF2B5EF4-FFF2-40B4-BE49-F238E27FC236}">
              <a16:creationId xmlns:a16="http://schemas.microsoft.com/office/drawing/2014/main" id="{00000000-0008-0000-0100-000003000000}"/>
            </a:ext>
          </a:extLst>
        </xdr:cNvPr>
        <xdr:cNvGrpSpPr/>
      </xdr:nvGrpSpPr>
      <xdr:grpSpPr>
        <a:xfrm>
          <a:off x="5874" y="16572714"/>
          <a:ext cx="2840516" cy="2355313"/>
          <a:chOff x="10413" y="11669287"/>
          <a:chExt cx="718038" cy="2045484"/>
        </a:xfrm>
      </xdr:grpSpPr>
      <xdr:sp macro="" textlink="">
        <xdr:nvSpPr>
          <xdr:cNvPr id="4" name="Check Box 76" hidden="1">
            <a:extLst>
              <a:ext uri="{63B3BB69-23CF-44E3-9099-C40C66FF867C}">
                <a14:compatExt xmlns:a14="http://schemas.microsoft.com/office/drawing/2010/main" spid="_x0000_s6220"/>
              </a:ext>
              <a:ext uri="{FF2B5EF4-FFF2-40B4-BE49-F238E27FC236}">
                <a16:creationId xmlns:a16="http://schemas.microsoft.com/office/drawing/2014/main" id="{00000000-0008-0000-0100-000004000000}"/>
              </a:ext>
            </a:extLst>
          </xdr:cNvPr>
          <xdr:cNvSpPr/>
        </xdr:nvSpPr>
        <xdr:spPr bwMode="auto">
          <a:xfrm>
            <a:off x="10413" y="11669287"/>
            <a:ext cx="718038" cy="17474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5" name="Check Box 77" hidden="1">
            <a:extLst>
              <a:ext uri="{63B3BB69-23CF-44E3-9099-C40C66FF867C}">
                <a14:compatExt xmlns:a14="http://schemas.microsoft.com/office/drawing/2010/main" spid="_x0000_s6221"/>
              </a:ext>
              <a:ext uri="{FF2B5EF4-FFF2-40B4-BE49-F238E27FC236}">
                <a16:creationId xmlns:a16="http://schemas.microsoft.com/office/drawing/2014/main" id="{00000000-0008-0000-0100-000005000000}"/>
              </a:ext>
            </a:extLst>
          </xdr:cNvPr>
          <xdr:cNvSpPr/>
        </xdr:nvSpPr>
        <xdr:spPr bwMode="auto">
          <a:xfrm>
            <a:off x="10413" y="12319430"/>
            <a:ext cx="170473" cy="16119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6" name="Check Box 78" hidden="1">
            <a:extLst>
              <a:ext uri="{63B3BB69-23CF-44E3-9099-C40C66FF867C}">
                <a14:compatExt xmlns:a14="http://schemas.microsoft.com/office/drawing/2010/main" spid="_x0000_s6222"/>
              </a:ext>
              <a:ext uri="{FF2B5EF4-FFF2-40B4-BE49-F238E27FC236}">
                <a16:creationId xmlns:a16="http://schemas.microsoft.com/office/drawing/2014/main" id="{00000000-0008-0000-0100-000006000000}"/>
              </a:ext>
            </a:extLst>
          </xdr:cNvPr>
          <xdr:cNvSpPr/>
        </xdr:nvSpPr>
        <xdr:spPr bwMode="auto">
          <a:xfrm>
            <a:off x="10413" y="12495921"/>
            <a:ext cx="171450" cy="16119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7" name="Check Box 79" hidden="1">
            <a:extLst>
              <a:ext uri="{63B3BB69-23CF-44E3-9099-C40C66FF867C}">
                <a14:compatExt xmlns:a14="http://schemas.microsoft.com/office/drawing/2010/main" spid="_x0000_s6223"/>
              </a:ext>
              <a:ext uri="{FF2B5EF4-FFF2-40B4-BE49-F238E27FC236}">
                <a16:creationId xmlns:a16="http://schemas.microsoft.com/office/drawing/2014/main" id="{00000000-0008-0000-0100-000007000000}"/>
              </a:ext>
            </a:extLst>
          </xdr:cNvPr>
          <xdr:cNvSpPr/>
        </xdr:nvSpPr>
        <xdr:spPr bwMode="auto">
          <a:xfrm>
            <a:off x="19940" y="12667313"/>
            <a:ext cx="171450" cy="1611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8" name="Check Box 80" hidden="1">
            <a:extLst>
              <a:ext uri="{63B3BB69-23CF-44E3-9099-C40C66FF867C}">
                <a14:compatExt xmlns:a14="http://schemas.microsoft.com/office/drawing/2010/main" spid="_x0000_s6224"/>
              </a:ext>
              <a:ext uri="{FF2B5EF4-FFF2-40B4-BE49-F238E27FC236}">
                <a16:creationId xmlns:a16="http://schemas.microsoft.com/office/drawing/2014/main" id="{00000000-0008-0000-0100-000008000000}"/>
              </a:ext>
            </a:extLst>
          </xdr:cNvPr>
          <xdr:cNvSpPr/>
        </xdr:nvSpPr>
        <xdr:spPr bwMode="auto">
          <a:xfrm>
            <a:off x="18730" y="12843804"/>
            <a:ext cx="171450" cy="16119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9" name="Check Box 81" hidden="1">
            <a:extLst>
              <a:ext uri="{63B3BB69-23CF-44E3-9099-C40C66FF867C}">
                <a14:compatExt xmlns:a14="http://schemas.microsoft.com/office/drawing/2010/main" spid="_x0000_s6225"/>
              </a:ext>
              <a:ext uri="{FF2B5EF4-FFF2-40B4-BE49-F238E27FC236}">
                <a16:creationId xmlns:a16="http://schemas.microsoft.com/office/drawing/2014/main" id="{00000000-0008-0000-0100-000009000000}"/>
              </a:ext>
            </a:extLst>
          </xdr:cNvPr>
          <xdr:cNvSpPr/>
        </xdr:nvSpPr>
        <xdr:spPr bwMode="auto">
          <a:xfrm>
            <a:off x="19940" y="13010097"/>
            <a:ext cx="171450" cy="16119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0" name="Check Box 82" hidden="1">
            <a:extLst>
              <a:ext uri="{63B3BB69-23CF-44E3-9099-C40C66FF867C}">
                <a14:compatExt xmlns:a14="http://schemas.microsoft.com/office/drawing/2010/main" spid="_x0000_s6226"/>
              </a:ext>
              <a:ext uri="{FF2B5EF4-FFF2-40B4-BE49-F238E27FC236}">
                <a16:creationId xmlns:a16="http://schemas.microsoft.com/office/drawing/2014/main" id="{00000000-0008-0000-0100-00000A000000}"/>
              </a:ext>
            </a:extLst>
          </xdr:cNvPr>
          <xdr:cNvSpPr/>
        </xdr:nvSpPr>
        <xdr:spPr bwMode="auto">
          <a:xfrm>
            <a:off x="21151" y="13176389"/>
            <a:ext cx="171450" cy="1587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1" name="Check Box 83" hidden="1">
            <a:extLst>
              <a:ext uri="{63B3BB69-23CF-44E3-9099-C40C66FF867C}">
                <a14:compatExt xmlns:a14="http://schemas.microsoft.com/office/drawing/2010/main" spid="_x0000_s6227"/>
              </a:ext>
              <a:ext uri="{FF2B5EF4-FFF2-40B4-BE49-F238E27FC236}">
                <a16:creationId xmlns:a16="http://schemas.microsoft.com/office/drawing/2014/main" id="{00000000-0008-0000-0100-00000B000000}"/>
              </a:ext>
            </a:extLst>
          </xdr:cNvPr>
          <xdr:cNvSpPr/>
        </xdr:nvSpPr>
        <xdr:spPr bwMode="auto">
          <a:xfrm>
            <a:off x="22362" y="13362433"/>
            <a:ext cx="171450" cy="1587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2" name="Check Box 84" hidden="1">
            <a:extLst>
              <a:ext uri="{63B3BB69-23CF-44E3-9099-C40C66FF867C}">
                <a14:compatExt xmlns:a14="http://schemas.microsoft.com/office/drawing/2010/main" spid="_x0000_s6228"/>
              </a:ext>
              <a:ext uri="{FF2B5EF4-FFF2-40B4-BE49-F238E27FC236}">
                <a16:creationId xmlns:a16="http://schemas.microsoft.com/office/drawing/2014/main" id="{00000000-0008-0000-0100-00000C000000}"/>
              </a:ext>
            </a:extLst>
          </xdr:cNvPr>
          <xdr:cNvSpPr/>
        </xdr:nvSpPr>
        <xdr:spPr bwMode="auto">
          <a:xfrm>
            <a:off x="22362" y="13553579"/>
            <a:ext cx="171450" cy="16119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3" name="Check Box 85" hidden="1">
            <a:extLst>
              <a:ext uri="{63B3BB69-23CF-44E3-9099-C40C66FF867C}">
                <a14:compatExt xmlns:a14="http://schemas.microsoft.com/office/drawing/2010/main" spid="_x0000_s6229"/>
              </a:ext>
              <a:ext uri="{FF2B5EF4-FFF2-40B4-BE49-F238E27FC236}">
                <a16:creationId xmlns:a16="http://schemas.microsoft.com/office/drawing/2014/main" id="{00000000-0008-0000-0100-00000D000000}"/>
              </a:ext>
            </a:extLst>
          </xdr:cNvPr>
          <xdr:cNvSpPr/>
        </xdr:nvSpPr>
        <xdr:spPr bwMode="auto">
          <a:xfrm>
            <a:off x="10413" y="11820768"/>
            <a:ext cx="717550" cy="17389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 name="Check Box 86" hidden="1">
            <a:extLst>
              <a:ext uri="{63B3BB69-23CF-44E3-9099-C40C66FF867C}">
                <a14:compatExt xmlns:a14="http://schemas.microsoft.com/office/drawing/2010/main" spid="_x0000_s6230"/>
              </a:ext>
              <a:ext uri="{FF2B5EF4-FFF2-40B4-BE49-F238E27FC236}">
                <a16:creationId xmlns:a16="http://schemas.microsoft.com/office/drawing/2014/main" id="{00000000-0008-0000-0100-00000E000000}"/>
              </a:ext>
            </a:extLst>
          </xdr:cNvPr>
          <xdr:cNvSpPr/>
        </xdr:nvSpPr>
        <xdr:spPr bwMode="auto">
          <a:xfrm>
            <a:off x="10413" y="11986844"/>
            <a:ext cx="717550" cy="1738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5" name="Check Box 87" hidden="1">
            <a:extLst>
              <a:ext uri="{63B3BB69-23CF-44E3-9099-C40C66FF867C}">
                <a14:compatExt xmlns:a14="http://schemas.microsoft.com/office/drawing/2010/main" spid="_x0000_s6231"/>
              </a:ext>
              <a:ext uri="{FF2B5EF4-FFF2-40B4-BE49-F238E27FC236}">
                <a16:creationId xmlns:a16="http://schemas.microsoft.com/office/drawing/2014/main" id="{00000000-0008-0000-0100-00000F000000}"/>
              </a:ext>
            </a:extLst>
          </xdr:cNvPr>
          <xdr:cNvSpPr/>
        </xdr:nvSpPr>
        <xdr:spPr bwMode="auto">
          <a:xfrm>
            <a:off x="10413" y="12158237"/>
            <a:ext cx="717550" cy="17389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clientData/>
  </xdr:twoCellAnchor>
  <xdr:twoCellAnchor>
    <xdr:from>
      <xdr:col>0</xdr:col>
      <xdr:colOff>55319</xdr:colOff>
      <xdr:row>80</xdr:row>
      <xdr:rowOff>118176</xdr:rowOff>
    </xdr:from>
    <xdr:to>
      <xdr:col>0</xdr:col>
      <xdr:colOff>282575</xdr:colOff>
      <xdr:row>96</xdr:row>
      <xdr:rowOff>80755</xdr:rowOff>
    </xdr:to>
    <xdr:grpSp>
      <xdr:nvGrpSpPr>
        <xdr:cNvPr id="16" name="Group 90">
          <a:extLst>
            <a:ext uri="{FF2B5EF4-FFF2-40B4-BE49-F238E27FC236}">
              <a16:creationId xmlns:a16="http://schemas.microsoft.com/office/drawing/2014/main" id="{00000000-0008-0000-0100-000010000000}"/>
            </a:ext>
          </a:extLst>
        </xdr:cNvPr>
        <xdr:cNvGrpSpPr>
          <a:grpSpLocks/>
        </xdr:cNvGrpSpPr>
      </xdr:nvGrpSpPr>
      <xdr:grpSpPr bwMode="auto">
        <a:xfrm>
          <a:off x="55319" y="17095676"/>
          <a:ext cx="227256" cy="3242579"/>
          <a:chOff x="-106" y="116537"/>
          <a:chExt cx="700" cy="20432"/>
        </a:xfrm>
      </xdr:grpSpPr>
      <xdr:sp macro="" textlink="">
        <xdr:nvSpPr>
          <xdr:cNvPr id="17" name="Check Box 76" hidden="1">
            <a:extLst>
              <a:ext uri="{63B3BB69-23CF-44E3-9099-C40C66FF867C}">
                <a14:compatExt xmlns:a14="http://schemas.microsoft.com/office/drawing/2010/main" spid="_x0000_s6220"/>
              </a:ext>
              <a:ext uri="{FF2B5EF4-FFF2-40B4-BE49-F238E27FC236}">
                <a16:creationId xmlns:a16="http://schemas.microsoft.com/office/drawing/2014/main" id="{00000000-0008-0000-0100-000011000000}"/>
              </a:ext>
            </a:extLst>
          </xdr:cNvPr>
          <xdr:cNvSpPr/>
        </xdr:nvSpPr>
        <xdr:spPr bwMode="auto">
          <a:xfrm>
            <a:off x="-106" y="116537"/>
            <a:ext cx="696" cy="17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8" name="Check Box 77" descr="&#10;" hidden="1">
            <a:extLst>
              <a:ext uri="{63B3BB69-23CF-44E3-9099-C40C66FF867C}">
                <a14:compatExt xmlns:a14="http://schemas.microsoft.com/office/drawing/2010/main" spid="_x0000_s6221"/>
              </a:ext>
              <a:ext uri="{FF2B5EF4-FFF2-40B4-BE49-F238E27FC236}">
                <a16:creationId xmlns:a16="http://schemas.microsoft.com/office/drawing/2014/main" id="{00000000-0008-0000-0100-000012000000}"/>
              </a:ext>
            </a:extLst>
          </xdr:cNvPr>
          <xdr:cNvSpPr/>
        </xdr:nvSpPr>
        <xdr:spPr bwMode="auto">
          <a:xfrm>
            <a:off x="-106" y="123123"/>
            <a:ext cx="696" cy="178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9" name="Check Box 78" hidden="1">
            <a:extLst>
              <a:ext uri="{63B3BB69-23CF-44E3-9099-C40C66FF867C}">
                <a14:compatExt xmlns:a14="http://schemas.microsoft.com/office/drawing/2010/main" spid="_x0000_s6222"/>
              </a:ext>
              <a:ext uri="{FF2B5EF4-FFF2-40B4-BE49-F238E27FC236}">
                <a16:creationId xmlns:a16="http://schemas.microsoft.com/office/drawing/2014/main" id="{00000000-0008-0000-0100-000013000000}"/>
              </a:ext>
            </a:extLst>
          </xdr:cNvPr>
          <xdr:cNvSpPr/>
        </xdr:nvSpPr>
        <xdr:spPr bwMode="auto">
          <a:xfrm>
            <a:off x="-106" y="124813"/>
            <a:ext cx="679" cy="1797"/>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0" name="Check Box 79" hidden="1">
            <a:extLst>
              <a:ext uri="{63B3BB69-23CF-44E3-9099-C40C66FF867C}">
                <a14:compatExt xmlns:a14="http://schemas.microsoft.com/office/drawing/2010/main" spid="_x0000_s6223"/>
              </a:ext>
              <a:ext uri="{FF2B5EF4-FFF2-40B4-BE49-F238E27FC236}">
                <a16:creationId xmlns:a16="http://schemas.microsoft.com/office/drawing/2014/main" id="{00000000-0008-0000-0100-000014000000}"/>
              </a:ext>
            </a:extLst>
          </xdr:cNvPr>
          <xdr:cNvSpPr/>
        </xdr:nvSpPr>
        <xdr:spPr bwMode="auto">
          <a:xfrm>
            <a:off x="-106" y="126673"/>
            <a:ext cx="700" cy="178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1" name="Check Box 80" hidden="1">
            <a:extLst>
              <a:ext uri="{63B3BB69-23CF-44E3-9099-C40C66FF867C}">
                <a14:compatExt xmlns:a14="http://schemas.microsoft.com/office/drawing/2010/main" spid="_x0000_s6224"/>
              </a:ext>
              <a:ext uri="{FF2B5EF4-FFF2-40B4-BE49-F238E27FC236}">
                <a16:creationId xmlns:a16="http://schemas.microsoft.com/office/drawing/2014/main" id="{00000000-0008-0000-0100-000015000000}"/>
              </a:ext>
            </a:extLst>
          </xdr:cNvPr>
          <xdr:cNvSpPr/>
        </xdr:nvSpPr>
        <xdr:spPr bwMode="auto">
          <a:xfrm>
            <a:off x="-106" y="128192"/>
            <a:ext cx="693" cy="17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2" name="Check Box 81" hidden="1">
            <a:extLst>
              <a:ext uri="{63B3BB69-23CF-44E3-9099-C40C66FF867C}">
                <a14:compatExt xmlns:a14="http://schemas.microsoft.com/office/drawing/2010/main" spid="_x0000_s6225"/>
              </a:ext>
              <a:ext uri="{FF2B5EF4-FFF2-40B4-BE49-F238E27FC236}">
                <a16:creationId xmlns:a16="http://schemas.microsoft.com/office/drawing/2014/main" id="{00000000-0008-0000-0100-000016000000}"/>
              </a:ext>
            </a:extLst>
          </xdr:cNvPr>
          <xdr:cNvSpPr/>
        </xdr:nvSpPr>
        <xdr:spPr bwMode="auto">
          <a:xfrm>
            <a:off x="-106" y="129791"/>
            <a:ext cx="693" cy="178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3" name="Check Box 82" hidden="1">
            <a:extLst>
              <a:ext uri="{63B3BB69-23CF-44E3-9099-C40C66FF867C}">
                <a14:compatExt xmlns:a14="http://schemas.microsoft.com/office/drawing/2010/main" spid="_x0000_s6226"/>
              </a:ext>
              <a:ext uri="{FF2B5EF4-FFF2-40B4-BE49-F238E27FC236}">
                <a16:creationId xmlns:a16="http://schemas.microsoft.com/office/drawing/2014/main" id="{00000000-0008-0000-0100-000017000000}"/>
              </a:ext>
            </a:extLst>
          </xdr:cNvPr>
          <xdr:cNvSpPr/>
        </xdr:nvSpPr>
        <xdr:spPr bwMode="auto">
          <a:xfrm>
            <a:off x="-106" y="131672"/>
            <a:ext cx="693" cy="17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4" name="Check Box 83" hidden="1">
            <a:extLst>
              <a:ext uri="{63B3BB69-23CF-44E3-9099-C40C66FF867C}">
                <a14:compatExt xmlns:a14="http://schemas.microsoft.com/office/drawing/2010/main" spid="_x0000_s6227"/>
              </a:ext>
              <a:ext uri="{FF2B5EF4-FFF2-40B4-BE49-F238E27FC236}">
                <a16:creationId xmlns:a16="http://schemas.microsoft.com/office/drawing/2014/main" id="{00000000-0008-0000-0100-000018000000}"/>
              </a:ext>
            </a:extLst>
          </xdr:cNvPr>
          <xdr:cNvSpPr/>
        </xdr:nvSpPr>
        <xdr:spPr bwMode="auto">
          <a:xfrm>
            <a:off x="-106" y="133467"/>
            <a:ext cx="697" cy="178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5" name="Check Box 84" hidden="1">
            <a:extLst>
              <a:ext uri="{63B3BB69-23CF-44E3-9099-C40C66FF867C}">
                <a14:compatExt xmlns:a14="http://schemas.microsoft.com/office/drawing/2010/main" spid="_x0000_s6228"/>
              </a:ext>
              <a:ext uri="{FF2B5EF4-FFF2-40B4-BE49-F238E27FC236}">
                <a16:creationId xmlns:a16="http://schemas.microsoft.com/office/drawing/2014/main" id="{00000000-0008-0000-0100-000019000000}"/>
              </a:ext>
            </a:extLst>
          </xdr:cNvPr>
          <xdr:cNvSpPr/>
        </xdr:nvSpPr>
        <xdr:spPr bwMode="auto">
          <a:xfrm>
            <a:off x="-106" y="135175"/>
            <a:ext cx="693" cy="17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6" name="Check Box 85" hidden="1">
            <a:extLst>
              <a:ext uri="{63B3BB69-23CF-44E3-9099-C40C66FF867C}">
                <a14:compatExt xmlns:a14="http://schemas.microsoft.com/office/drawing/2010/main" spid="_x0000_s6229"/>
              </a:ext>
              <a:ext uri="{FF2B5EF4-FFF2-40B4-BE49-F238E27FC236}">
                <a16:creationId xmlns:a16="http://schemas.microsoft.com/office/drawing/2014/main" id="{00000000-0008-0000-0100-00001A000000}"/>
              </a:ext>
            </a:extLst>
          </xdr:cNvPr>
          <xdr:cNvSpPr/>
        </xdr:nvSpPr>
        <xdr:spPr bwMode="auto">
          <a:xfrm>
            <a:off x="-106" y="118188"/>
            <a:ext cx="693" cy="17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7" name="Check Box 86" hidden="1">
            <a:extLst>
              <a:ext uri="{63B3BB69-23CF-44E3-9099-C40C66FF867C}">
                <a14:compatExt xmlns:a14="http://schemas.microsoft.com/office/drawing/2010/main" spid="_x0000_s6230"/>
              </a:ext>
              <a:ext uri="{FF2B5EF4-FFF2-40B4-BE49-F238E27FC236}">
                <a16:creationId xmlns:a16="http://schemas.microsoft.com/office/drawing/2014/main" id="{00000000-0008-0000-0100-00001B000000}"/>
              </a:ext>
            </a:extLst>
          </xdr:cNvPr>
          <xdr:cNvSpPr/>
        </xdr:nvSpPr>
        <xdr:spPr bwMode="auto">
          <a:xfrm>
            <a:off x="-106" y="119849"/>
            <a:ext cx="696" cy="178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8" name="Check Box 87">
            <a:extLst>
              <a:ext uri="{63B3BB69-23CF-44E3-9099-C40C66FF867C}">
                <a14:compatExt xmlns:a14="http://schemas.microsoft.com/office/drawing/2010/main" spid="_x0000_s6231"/>
              </a:ext>
              <a:ext uri="{FF2B5EF4-FFF2-40B4-BE49-F238E27FC236}">
                <a16:creationId xmlns:a16="http://schemas.microsoft.com/office/drawing/2014/main" id="{00000000-0008-0000-0100-00001C000000}"/>
              </a:ext>
            </a:extLst>
          </xdr:cNvPr>
          <xdr:cNvSpPr/>
        </xdr:nvSpPr>
        <xdr:spPr bwMode="auto">
          <a:xfrm>
            <a:off x="-106" y="121515"/>
            <a:ext cx="693" cy="17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clientData/>
  </xdr:twoCellAnchor>
  <mc:AlternateContent xmlns:mc="http://schemas.openxmlformats.org/markup-compatibility/2006">
    <mc:Choice xmlns:a14="http://schemas.microsoft.com/office/drawing/2010/main" Requires="a14">
      <xdr:twoCellAnchor>
        <xdr:from>
          <xdr:col>0</xdr:col>
          <xdr:colOff>9525</xdr:colOff>
          <xdr:row>78</xdr:row>
          <xdr:rowOff>9525</xdr:rowOff>
        </xdr:from>
        <xdr:to>
          <xdr:col>0</xdr:col>
          <xdr:colOff>304800</xdr:colOff>
          <xdr:row>79</xdr:row>
          <xdr:rowOff>0</xdr:rowOff>
        </xdr:to>
        <xdr:sp macro="" textlink="">
          <xdr:nvSpPr>
            <xdr:cNvPr id="13321" name="Check Box 9" hidden="1">
              <a:extLst>
                <a:ext uri="{63B3BB69-23CF-44E3-9099-C40C66FF867C}">
                  <a14:compatExt spid="_x0000_s13321"/>
                </a:ext>
                <a:ext uri="{FF2B5EF4-FFF2-40B4-BE49-F238E27FC236}">
                  <a16:creationId xmlns:a16="http://schemas.microsoft.com/office/drawing/2014/main" id="{00000000-0008-0000-0100-000009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82</xdr:row>
          <xdr:rowOff>0</xdr:rowOff>
        </xdr:from>
        <xdr:to>
          <xdr:col>0</xdr:col>
          <xdr:colOff>304800</xdr:colOff>
          <xdr:row>83</xdr:row>
          <xdr:rowOff>0</xdr:rowOff>
        </xdr:to>
        <xdr:sp macro="" textlink="">
          <xdr:nvSpPr>
            <xdr:cNvPr id="13322" name="Check Box 10" descr="&#10;" hidden="1">
              <a:extLst>
                <a:ext uri="{63B3BB69-23CF-44E3-9099-C40C66FF867C}">
                  <a14:compatExt spid="_x0000_s13322"/>
                </a:ext>
                <a:ext uri="{FF2B5EF4-FFF2-40B4-BE49-F238E27FC236}">
                  <a16:creationId xmlns:a16="http://schemas.microsoft.com/office/drawing/2014/main" id="{00000000-0008-0000-0100-00000A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83</xdr:row>
          <xdr:rowOff>0</xdr:rowOff>
        </xdr:from>
        <xdr:to>
          <xdr:col>1</xdr:col>
          <xdr:colOff>9525</xdr:colOff>
          <xdr:row>84</xdr:row>
          <xdr:rowOff>0</xdr:rowOff>
        </xdr:to>
        <xdr:sp macro="" textlink="">
          <xdr:nvSpPr>
            <xdr:cNvPr id="13323" name="Check Box 11" hidden="1">
              <a:extLst>
                <a:ext uri="{63B3BB69-23CF-44E3-9099-C40C66FF867C}">
                  <a14:compatExt spid="_x0000_s13323"/>
                </a:ext>
                <a:ext uri="{FF2B5EF4-FFF2-40B4-BE49-F238E27FC236}">
                  <a16:creationId xmlns:a16="http://schemas.microsoft.com/office/drawing/2014/main" id="{00000000-0008-0000-0100-00000B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84</xdr:row>
          <xdr:rowOff>9525</xdr:rowOff>
        </xdr:from>
        <xdr:to>
          <xdr:col>0</xdr:col>
          <xdr:colOff>314325</xdr:colOff>
          <xdr:row>84</xdr:row>
          <xdr:rowOff>190500</xdr:rowOff>
        </xdr:to>
        <xdr:sp macro="" textlink="">
          <xdr:nvSpPr>
            <xdr:cNvPr id="13324" name="Check Box 12" hidden="1">
              <a:extLst>
                <a:ext uri="{63B3BB69-23CF-44E3-9099-C40C66FF867C}">
                  <a14:compatExt spid="_x0000_s13324"/>
                </a:ext>
                <a:ext uri="{FF2B5EF4-FFF2-40B4-BE49-F238E27FC236}">
                  <a16:creationId xmlns:a16="http://schemas.microsoft.com/office/drawing/2014/main" id="{00000000-0008-0000-0100-00000C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85</xdr:row>
          <xdr:rowOff>0</xdr:rowOff>
        </xdr:from>
        <xdr:to>
          <xdr:col>0</xdr:col>
          <xdr:colOff>304800</xdr:colOff>
          <xdr:row>85</xdr:row>
          <xdr:rowOff>200025</xdr:rowOff>
        </xdr:to>
        <xdr:sp macro="" textlink="">
          <xdr:nvSpPr>
            <xdr:cNvPr id="13325" name="Check Box 13" hidden="1">
              <a:extLst>
                <a:ext uri="{63B3BB69-23CF-44E3-9099-C40C66FF867C}">
                  <a14:compatExt spid="_x0000_s13325"/>
                </a:ext>
                <a:ext uri="{FF2B5EF4-FFF2-40B4-BE49-F238E27FC236}">
                  <a16:creationId xmlns:a16="http://schemas.microsoft.com/office/drawing/2014/main" id="{00000000-0008-0000-0100-00000D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85</xdr:row>
          <xdr:rowOff>200025</xdr:rowOff>
        </xdr:from>
        <xdr:to>
          <xdr:col>0</xdr:col>
          <xdr:colOff>304800</xdr:colOff>
          <xdr:row>87</xdr:row>
          <xdr:rowOff>0</xdr:rowOff>
        </xdr:to>
        <xdr:sp macro="" textlink="">
          <xdr:nvSpPr>
            <xdr:cNvPr id="13326" name="Check Box 14" hidden="1">
              <a:extLst>
                <a:ext uri="{63B3BB69-23CF-44E3-9099-C40C66FF867C}">
                  <a14:compatExt spid="_x0000_s13326"/>
                </a:ext>
                <a:ext uri="{FF2B5EF4-FFF2-40B4-BE49-F238E27FC236}">
                  <a16:creationId xmlns:a16="http://schemas.microsoft.com/office/drawing/2014/main" id="{00000000-0008-0000-0100-00000E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87</xdr:row>
          <xdr:rowOff>0</xdr:rowOff>
        </xdr:from>
        <xdr:to>
          <xdr:col>0</xdr:col>
          <xdr:colOff>314325</xdr:colOff>
          <xdr:row>88</xdr:row>
          <xdr:rowOff>0</xdr:rowOff>
        </xdr:to>
        <xdr:sp macro="" textlink="">
          <xdr:nvSpPr>
            <xdr:cNvPr id="13327" name="Check Box 15" hidden="1">
              <a:extLst>
                <a:ext uri="{63B3BB69-23CF-44E3-9099-C40C66FF867C}">
                  <a14:compatExt spid="_x0000_s13327"/>
                </a:ext>
                <a:ext uri="{FF2B5EF4-FFF2-40B4-BE49-F238E27FC236}">
                  <a16:creationId xmlns:a16="http://schemas.microsoft.com/office/drawing/2014/main" id="{00000000-0008-0000-0100-00000F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88</xdr:row>
          <xdr:rowOff>9525</xdr:rowOff>
        </xdr:from>
        <xdr:to>
          <xdr:col>0</xdr:col>
          <xdr:colOff>304800</xdr:colOff>
          <xdr:row>89</xdr:row>
          <xdr:rowOff>0</xdr:rowOff>
        </xdr:to>
        <xdr:sp macro="" textlink="">
          <xdr:nvSpPr>
            <xdr:cNvPr id="13328" name="Check Box 16" hidden="1">
              <a:extLst>
                <a:ext uri="{63B3BB69-23CF-44E3-9099-C40C66FF867C}">
                  <a14:compatExt spid="_x0000_s13328"/>
                </a:ext>
                <a:ext uri="{FF2B5EF4-FFF2-40B4-BE49-F238E27FC236}">
                  <a16:creationId xmlns:a16="http://schemas.microsoft.com/office/drawing/2014/main" id="{00000000-0008-0000-0100-000010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89</xdr:row>
          <xdr:rowOff>9525</xdr:rowOff>
        </xdr:from>
        <xdr:to>
          <xdr:col>0</xdr:col>
          <xdr:colOff>304800</xdr:colOff>
          <xdr:row>90</xdr:row>
          <xdr:rowOff>0</xdr:rowOff>
        </xdr:to>
        <xdr:sp macro="" textlink="">
          <xdr:nvSpPr>
            <xdr:cNvPr id="13329" name="Check Box 17" hidden="1">
              <a:extLst>
                <a:ext uri="{63B3BB69-23CF-44E3-9099-C40C66FF867C}">
                  <a14:compatExt spid="_x0000_s13329"/>
                </a:ext>
                <a:ext uri="{FF2B5EF4-FFF2-40B4-BE49-F238E27FC236}">
                  <a16:creationId xmlns:a16="http://schemas.microsoft.com/office/drawing/2014/main" id="{00000000-0008-0000-0100-000011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79</xdr:row>
          <xdr:rowOff>9525</xdr:rowOff>
        </xdr:from>
        <xdr:to>
          <xdr:col>0</xdr:col>
          <xdr:colOff>314325</xdr:colOff>
          <xdr:row>80</xdr:row>
          <xdr:rowOff>0</xdr:rowOff>
        </xdr:to>
        <xdr:sp macro="" textlink="">
          <xdr:nvSpPr>
            <xdr:cNvPr id="13330" name="Check Box 18" hidden="1">
              <a:extLst>
                <a:ext uri="{63B3BB69-23CF-44E3-9099-C40C66FF867C}">
                  <a14:compatExt spid="_x0000_s13330"/>
                </a:ext>
                <a:ext uri="{FF2B5EF4-FFF2-40B4-BE49-F238E27FC236}">
                  <a16:creationId xmlns:a16="http://schemas.microsoft.com/office/drawing/2014/main" id="{00000000-0008-0000-0100-000012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80</xdr:row>
          <xdr:rowOff>0</xdr:rowOff>
        </xdr:from>
        <xdr:to>
          <xdr:col>0</xdr:col>
          <xdr:colOff>314325</xdr:colOff>
          <xdr:row>80</xdr:row>
          <xdr:rowOff>190500</xdr:rowOff>
        </xdr:to>
        <xdr:sp macro="" textlink="">
          <xdr:nvSpPr>
            <xdr:cNvPr id="13331" name="Check Box 19" hidden="1">
              <a:extLst>
                <a:ext uri="{63B3BB69-23CF-44E3-9099-C40C66FF867C}">
                  <a14:compatExt spid="_x0000_s13331"/>
                </a:ext>
                <a:ext uri="{FF2B5EF4-FFF2-40B4-BE49-F238E27FC236}">
                  <a16:creationId xmlns:a16="http://schemas.microsoft.com/office/drawing/2014/main" id="{00000000-0008-0000-0100-000013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81</xdr:row>
          <xdr:rowOff>0</xdr:rowOff>
        </xdr:from>
        <xdr:to>
          <xdr:col>0</xdr:col>
          <xdr:colOff>304800</xdr:colOff>
          <xdr:row>82</xdr:row>
          <xdr:rowOff>0</xdr:rowOff>
        </xdr:to>
        <xdr:sp macro="" textlink="">
          <xdr:nvSpPr>
            <xdr:cNvPr id="13332" name="Check Box 20" hidden="1">
              <a:extLst>
                <a:ext uri="{63B3BB69-23CF-44E3-9099-C40C66FF867C}">
                  <a14:compatExt spid="_x0000_s13332"/>
                </a:ext>
                <a:ext uri="{FF2B5EF4-FFF2-40B4-BE49-F238E27FC236}">
                  <a16:creationId xmlns:a16="http://schemas.microsoft.com/office/drawing/2014/main" id="{00000000-0008-0000-0100-000014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58</xdr:row>
          <xdr:rowOff>114300</xdr:rowOff>
        </xdr:from>
        <xdr:to>
          <xdr:col>1</xdr:col>
          <xdr:colOff>85725</xdr:colOff>
          <xdr:row>62</xdr:row>
          <xdr:rowOff>66675</xdr:rowOff>
        </xdr:to>
        <xdr:sp macro="" textlink="">
          <xdr:nvSpPr>
            <xdr:cNvPr id="13345" name="Group Box 33" hidden="1">
              <a:extLst>
                <a:ext uri="{63B3BB69-23CF-44E3-9099-C40C66FF867C}">
                  <a14:compatExt spid="_x0000_s13345"/>
                </a:ext>
                <a:ext uri="{FF2B5EF4-FFF2-40B4-BE49-F238E27FC236}">
                  <a16:creationId xmlns:a16="http://schemas.microsoft.com/office/drawing/2014/main" id="{00000000-0008-0000-0100-0000213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59</xdr:row>
          <xdr:rowOff>28575</xdr:rowOff>
        </xdr:from>
        <xdr:to>
          <xdr:col>1</xdr:col>
          <xdr:colOff>9525</xdr:colOff>
          <xdr:row>60</xdr:row>
          <xdr:rowOff>0</xdr:rowOff>
        </xdr:to>
        <xdr:sp macro="" textlink="">
          <xdr:nvSpPr>
            <xdr:cNvPr id="13346" name="Option Button 34" hidden="1">
              <a:extLst>
                <a:ext uri="{63B3BB69-23CF-44E3-9099-C40C66FF867C}">
                  <a14:compatExt spid="_x0000_s13346"/>
                </a:ext>
                <a:ext uri="{FF2B5EF4-FFF2-40B4-BE49-F238E27FC236}">
                  <a16:creationId xmlns:a16="http://schemas.microsoft.com/office/drawing/2014/main" id="{00000000-0008-0000-0100-00002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60</xdr:row>
          <xdr:rowOff>0</xdr:rowOff>
        </xdr:from>
        <xdr:to>
          <xdr:col>1</xdr:col>
          <xdr:colOff>9525</xdr:colOff>
          <xdr:row>61</xdr:row>
          <xdr:rowOff>0</xdr:rowOff>
        </xdr:to>
        <xdr:sp macro="" textlink="">
          <xdr:nvSpPr>
            <xdr:cNvPr id="13347" name="Option Button 35" hidden="1">
              <a:extLst>
                <a:ext uri="{63B3BB69-23CF-44E3-9099-C40C66FF867C}">
                  <a14:compatExt spid="_x0000_s13347"/>
                </a:ext>
                <a:ext uri="{FF2B5EF4-FFF2-40B4-BE49-F238E27FC236}">
                  <a16:creationId xmlns:a16="http://schemas.microsoft.com/office/drawing/2014/main" id="{00000000-0008-0000-0100-00002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60</xdr:row>
          <xdr:rowOff>219075</xdr:rowOff>
        </xdr:from>
        <xdr:to>
          <xdr:col>0</xdr:col>
          <xdr:colOff>304800</xdr:colOff>
          <xdr:row>62</xdr:row>
          <xdr:rowOff>0</xdr:rowOff>
        </xdr:to>
        <xdr:sp macro="" textlink="">
          <xdr:nvSpPr>
            <xdr:cNvPr id="13348" name="Option Button 36" hidden="1">
              <a:extLst>
                <a:ext uri="{63B3BB69-23CF-44E3-9099-C40C66FF867C}">
                  <a14:compatExt spid="_x0000_s13348"/>
                </a:ext>
                <a:ext uri="{FF2B5EF4-FFF2-40B4-BE49-F238E27FC236}">
                  <a16:creationId xmlns:a16="http://schemas.microsoft.com/office/drawing/2014/main" id="{00000000-0008-0000-0100-00002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64</xdr:row>
          <xdr:rowOff>85725</xdr:rowOff>
        </xdr:from>
        <xdr:to>
          <xdr:col>1</xdr:col>
          <xdr:colOff>85725</xdr:colOff>
          <xdr:row>72</xdr:row>
          <xdr:rowOff>66675</xdr:rowOff>
        </xdr:to>
        <xdr:sp macro="" textlink="">
          <xdr:nvSpPr>
            <xdr:cNvPr id="13349" name="Group Box 37" hidden="1">
              <a:extLst>
                <a:ext uri="{63B3BB69-23CF-44E3-9099-C40C66FF867C}">
                  <a14:compatExt spid="_x0000_s13349"/>
                </a:ext>
                <a:ext uri="{FF2B5EF4-FFF2-40B4-BE49-F238E27FC236}">
                  <a16:creationId xmlns:a16="http://schemas.microsoft.com/office/drawing/2014/main" id="{00000000-0008-0000-0100-0000253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64</xdr:row>
          <xdr:rowOff>161925</xdr:rowOff>
        </xdr:from>
        <xdr:to>
          <xdr:col>1</xdr:col>
          <xdr:colOff>9525</xdr:colOff>
          <xdr:row>66</xdr:row>
          <xdr:rowOff>0</xdr:rowOff>
        </xdr:to>
        <xdr:sp macro="" textlink="">
          <xdr:nvSpPr>
            <xdr:cNvPr id="13350" name="Option Button 38" hidden="1">
              <a:extLst>
                <a:ext uri="{63B3BB69-23CF-44E3-9099-C40C66FF867C}">
                  <a14:compatExt spid="_x0000_s13350"/>
                </a:ext>
                <a:ext uri="{FF2B5EF4-FFF2-40B4-BE49-F238E27FC236}">
                  <a16:creationId xmlns:a16="http://schemas.microsoft.com/office/drawing/2014/main" id="{00000000-0008-0000-0100-00002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65</xdr:row>
          <xdr:rowOff>190500</xdr:rowOff>
        </xdr:from>
        <xdr:to>
          <xdr:col>0</xdr:col>
          <xdr:colOff>314325</xdr:colOff>
          <xdr:row>67</xdr:row>
          <xdr:rowOff>9525</xdr:rowOff>
        </xdr:to>
        <xdr:sp macro="" textlink="">
          <xdr:nvSpPr>
            <xdr:cNvPr id="13351" name="Option Button 39" hidden="1">
              <a:extLst>
                <a:ext uri="{63B3BB69-23CF-44E3-9099-C40C66FF867C}">
                  <a14:compatExt spid="_x0000_s13351"/>
                </a:ext>
                <a:ext uri="{FF2B5EF4-FFF2-40B4-BE49-F238E27FC236}">
                  <a16:creationId xmlns:a16="http://schemas.microsoft.com/office/drawing/2014/main" id="{00000000-0008-0000-0100-00002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67</xdr:row>
          <xdr:rowOff>0</xdr:rowOff>
        </xdr:from>
        <xdr:to>
          <xdr:col>1</xdr:col>
          <xdr:colOff>9525</xdr:colOff>
          <xdr:row>68</xdr:row>
          <xdr:rowOff>0</xdr:rowOff>
        </xdr:to>
        <xdr:sp macro="" textlink="">
          <xdr:nvSpPr>
            <xdr:cNvPr id="13352" name="Option Button 40" hidden="1">
              <a:extLst>
                <a:ext uri="{63B3BB69-23CF-44E3-9099-C40C66FF867C}">
                  <a14:compatExt spid="_x0000_s13352"/>
                </a:ext>
                <a:ext uri="{FF2B5EF4-FFF2-40B4-BE49-F238E27FC236}">
                  <a16:creationId xmlns:a16="http://schemas.microsoft.com/office/drawing/2014/main" id="{00000000-0008-0000-0100-00002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68</xdr:row>
          <xdr:rowOff>0</xdr:rowOff>
        </xdr:from>
        <xdr:to>
          <xdr:col>1</xdr:col>
          <xdr:colOff>28575</xdr:colOff>
          <xdr:row>69</xdr:row>
          <xdr:rowOff>0</xdr:rowOff>
        </xdr:to>
        <xdr:sp macro="" textlink="">
          <xdr:nvSpPr>
            <xdr:cNvPr id="13353" name="Option Button 41" hidden="1">
              <a:extLst>
                <a:ext uri="{63B3BB69-23CF-44E3-9099-C40C66FF867C}">
                  <a14:compatExt spid="_x0000_s13353"/>
                </a:ext>
                <a:ext uri="{FF2B5EF4-FFF2-40B4-BE49-F238E27FC236}">
                  <a16:creationId xmlns:a16="http://schemas.microsoft.com/office/drawing/2014/main" id="{00000000-0008-0000-0100-00002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68</xdr:row>
          <xdr:rowOff>190500</xdr:rowOff>
        </xdr:from>
        <xdr:to>
          <xdr:col>1</xdr:col>
          <xdr:colOff>9525</xdr:colOff>
          <xdr:row>70</xdr:row>
          <xdr:rowOff>0</xdr:rowOff>
        </xdr:to>
        <xdr:sp macro="" textlink="">
          <xdr:nvSpPr>
            <xdr:cNvPr id="13354" name="Option Button 42" hidden="1">
              <a:extLst>
                <a:ext uri="{63B3BB69-23CF-44E3-9099-C40C66FF867C}">
                  <a14:compatExt spid="_x0000_s13354"/>
                </a:ext>
                <a:ext uri="{FF2B5EF4-FFF2-40B4-BE49-F238E27FC236}">
                  <a16:creationId xmlns:a16="http://schemas.microsoft.com/office/drawing/2014/main" id="{00000000-0008-0000-0100-00002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70</xdr:row>
          <xdr:rowOff>0</xdr:rowOff>
        </xdr:from>
        <xdr:to>
          <xdr:col>1</xdr:col>
          <xdr:colOff>0</xdr:colOff>
          <xdr:row>71</xdr:row>
          <xdr:rowOff>0</xdr:rowOff>
        </xdr:to>
        <xdr:sp macro="" textlink="">
          <xdr:nvSpPr>
            <xdr:cNvPr id="13355" name="Option Button 43" hidden="1">
              <a:extLst>
                <a:ext uri="{63B3BB69-23CF-44E3-9099-C40C66FF867C}">
                  <a14:compatExt spid="_x0000_s13355"/>
                </a:ext>
                <a:ext uri="{FF2B5EF4-FFF2-40B4-BE49-F238E27FC236}">
                  <a16:creationId xmlns:a16="http://schemas.microsoft.com/office/drawing/2014/main" id="{00000000-0008-0000-0100-00002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71</xdr:row>
          <xdr:rowOff>76200</xdr:rowOff>
        </xdr:from>
        <xdr:to>
          <xdr:col>1</xdr:col>
          <xdr:colOff>9525</xdr:colOff>
          <xdr:row>71</xdr:row>
          <xdr:rowOff>333375</xdr:rowOff>
        </xdr:to>
        <xdr:sp macro="" textlink="">
          <xdr:nvSpPr>
            <xdr:cNvPr id="13356" name="Option Button 44" hidden="1">
              <a:extLst>
                <a:ext uri="{63B3BB69-23CF-44E3-9099-C40C66FF867C}">
                  <a14:compatExt spid="_x0000_s13356"/>
                </a:ext>
                <a:ext uri="{FF2B5EF4-FFF2-40B4-BE49-F238E27FC236}">
                  <a16:creationId xmlns:a16="http://schemas.microsoft.com/office/drawing/2014/main" id="{00000000-0008-0000-0100-00002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60</xdr:row>
          <xdr:rowOff>28575</xdr:rowOff>
        </xdr:from>
        <xdr:to>
          <xdr:col>2</xdr:col>
          <xdr:colOff>0</xdr:colOff>
          <xdr:row>61</xdr:row>
          <xdr:rowOff>9525</xdr:rowOff>
        </xdr:to>
        <xdr:sp macro="" textlink="">
          <xdr:nvSpPr>
            <xdr:cNvPr id="19461" name="Drop Down 5" hidden="1">
              <a:extLst>
                <a:ext uri="{63B3BB69-23CF-44E3-9099-C40C66FF867C}">
                  <a14:compatExt spid="_x0000_s19461"/>
                </a:ext>
                <a:ext uri="{FF2B5EF4-FFF2-40B4-BE49-F238E27FC236}">
                  <a16:creationId xmlns:a16="http://schemas.microsoft.com/office/drawing/2014/main" id="{00000000-0008-0000-0300-000005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38100</xdr:rowOff>
        </xdr:from>
        <xdr:to>
          <xdr:col>1</xdr:col>
          <xdr:colOff>6867525</xdr:colOff>
          <xdr:row>51</xdr:row>
          <xdr:rowOff>352425</xdr:rowOff>
        </xdr:to>
        <xdr:sp macro="" textlink="">
          <xdr:nvSpPr>
            <xdr:cNvPr id="19462" name="Drop Down 6" hidden="1">
              <a:extLst>
                <a:ext uri="{63B3BB69-23CF-44E3-9099-C40C66FF867C}">
                  <a14:compatExt spid="_x0000_s19462"/>
                </a:ext>
                <a:ext uri="{FF2B5EF4-FFF2-40B4-BE49-F238E27FC236}">
                  <a16:creationId xmlns:a16="http://schemas.microsoft.com/office/drawing/2014/main" id="{00000000-0008-0000-0300-000006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390525</xdr:colOff>
          <xdr:row>131</xdr:row>
          <xdr:rowOff>47625</xdr:rowOff>
        </xdr:from>
        <xdr:to>
          <xdr:col>2</xdr:col>
          <xdr:colOff>1133475</xdr:colOff>
          <xdr:row>131</xdr:row>
          <xdr:rowOff>342900</xdr:rowOff>
        </xdr:to>
        <xdr:sp macro="" textlink="">
          <xdr:nvSpPr>
            <xdr:cNvPr id="19463" name="Check Box 7" hidden="1">
              <a:extLst>
                <a:ext uri="{63B3BB69-23CF-44E3-9099-C40C66FF867C}">
                  <a14:compatExt spid="_x0000_s19463"/>
                </a:ext>
                <a:ext uri="{FF2B5EF4-FFF2-40B4-BE49-F238E27FC236}">
                  <a16:creationId xmlns:a16="http://schemas.microsoft.com/office/drawing/2014/main" id="{00000000-0008-0000-0300-000007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131</xdr:row>
          <xdr:rowOff>47625</xdr:rowOff>
        </xdr:from>
        <xdr:to>
          <xdr:col>3</xdr:col>
          <xdr:colOff>1228725</xdr:colOff>
          <xdr:row>132</xdr:row>
          <xdr:rowOff>0</xdr:rowOff>
        </xdr:to>
        <xdr:sp macro="" textlink="">
          <xdr:nvSpPr>
            <xdr:cNvPr id="19464" name="Check Box 8" hidden="1">
              <a:extLst>
                <a:ext uri="{63B3BB69-23CF-44E3-9099-C40C66FF867C}">
                  <a14:compatExt spid="_x0000_s19464"/>
                </a:ext>
                <a:ext uri="{FF2B5EF4-FFF2-40B4-BE49-F238E27FC236}">
                  <a16:creationId xmlns:a16="http://schemas.microsoft.com/office/drawing/2014/main" id="{00000000-0008-0000-0300-000008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390525</xdr:colOff>
          <xdr:row>132</xdr:row>
          <xdr:rowOff>38100</xdr:rowOff>
        </xdr:from>
        <xdr:to>
          <xdr:col>2</xdr:col>
          <xdr:colOff>1114425</xdr:colOff>
          <xdr:row>132</xdr:row>
          <xdr:rowOff>352425</xdr:rowOff>
        </xdr:to>
        <xdr:sp macro="" textlink="">
          <xdr:nvSpPr>
            <xdr:cNvPr id="19465" name="Check Box 9" hidden="1">
              <a:extLst>
                <a:ext uri="{63B3BB69-23CF-44E3-9099-C40C66FF867C}">
                  <a14:compatExt spid="_x0000_s19465"/>
                </a:ext>
                <a:ext uri="{FF2B5EF4-FFF2-40B4-BE49-F238E27FC236}">
                  <a16:creationId xmlns:a16="http://schemas.microsoft.com/office/drawing/2014/main" id="{00000000-0008-0000-0300-000009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132</xdr:row>
          <xdr:rowOff>38100</xdr:rowOff>
        </xdr:from>
        <xdr:to>
          <xdr:col>3</xdr:col>
          <xdr:colOff>1219200</xdr:colOff>
          <xdr:row>132</xdr:row>
          <xdr:rowOff>371475</xdr:rowOff>
        </xdr:to>
        <xdr:sp macro="" textlink="">
          <xdr:nvSpPr>
            <xdr:cNvPr id="19466" name="Check Box 10" hidden="1">
              <a:extLst>
                <a:ext uri="{63B3BB69-23CF-44E3-9099-C40C66FF867C}">
                  <a14:compatExt spid="_x0000_s19466"/>
                </a:ext>
                <a:ext uri="{FF2B5EF4-FFF2-40B4-BE49-F238E27FC236}">
                  <a16:creationId xmlns:a16="http://schemas.microsoft.com/office/drawing/2014/main" id="{00000000-0008-0000-0300-00000A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390525</xdr:colOff>
          <xdr:row>133</xdr:row>
          <xdr:rowOff>38100</xdr:rowOff>
        </xdr:from>
        <xdr:to>
          <xdr:col>2</xdr:col>
          <xdr:colOff>1143000</xdr:colOff>
          <xdr:row>133</xdr:row>
          <xdr:rowOff>352425</xdr:rowOff>
        </xdr:to>
        <xdr:sp macro="" textlink="">
          <xdr:nvSpPr>
            <xdr:cNvPr id="19467" name="Check Box 11" hidden="1">
              <a:extLst>
                <a:ext uri="{63B3BB69-23CF-44E3-9099-C40C66FF867C}">
                  <a14:compatExt spid="_x0000_s19467"/>
                </a:ext>
                <a:ext uri="{FF2B5EF4-FFF2-40B4-BE49-F238E27FC236}">
                  <a16:creationId xmlns:a16="http://schemas.microsoft.com/office/drawing/2014/main" id="{00000000-0008-0000-0300-00000B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133</xdr:row>
          <xdr:rowOff>28575</xdr:rowOff>
        </xdr:from>
        <xdr:to>
          <xdr:col>3</xdr:col>
          <xdr:colOff>1209675</xdr:colOff>
          <xdr:row>134</xdr:row>
          <xdr:rowOff>9525</xdr:rowOff>
        </xdr:to>
        <xdr:sp macro="" textlink="">
          <xdr:nvSpPr>
            <xdr:cNvPr id="19468" name="Check Box 12" hidden="1">
              <a:extLst>
                <a:ext uri="{63B3BB69-23CF-44E3-9099-C40C66FF867C}">
                  <a14:compatExt spid="_x0000_s19468"/>
                </a:ext>
                <a:ext uri="{FF2B5EF4-FFF2-40B4-BE49-F238E27FC236}">
                  <a16:creationId xmlns:a16="http://schemas.microsoft.com/office/drawing/2014/main" id="{00000000-0008-0000-0300-00000C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390525</xdr:colOff>
          <xdr:row>134</xdr:row>
          <xdr:rowOff>9525</xdr:rowOff>
        </xdr:from>
        <xdr:to>
          <xdr:col>2</xdr:col>
          <xdr:colOff>1114425</xdr:colOff>
          <xdr:row>134</xdr:row>
          <xdr:rowOff>371475</xdr:rowOff>
        </xdr:to>
        <xdr:sp macro="" textlink="">
          <xdr:nvSpPr>
            <xdr:cNvPr id="19469" name="Check Box 13" hidden="1">
              <a:extLst>
                <a:ext uri="{63B3BB69-23CF-44E3-9099-C40C66FF867C}">
                  <a14:compatExt spid="_x0000_s19469"/>
                </a:ext>
                <a:ext uri="{FF2B5EF4-FFF2-40B4-BE49-F238E27FC236}">
                  <a16:creationId xmlns:a16="http://schemas.microsoft.com/office/drawing/2014/main" id="{00000000-0008-0000-0300-00000D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134</xdr:row>
          <xdr:rowOff>47625</xdr:rowOff>
        </xdr:from>
        <xdr:to>
          <xdr:col>3</xdr:col>
          <xdr:colOff>1219200</xdr:colOff>
          <xdr:row>134</xdr:row>
          <xdr:rowOff>371475</xdr:rowOff>
        </xdr:to>
        <xdr:sp macro="" textlink="">
          <xdr:nvSpPr>
            <xdr:cNvPr id="19470" name="Check Box 14" hidden="1">
              <a:extLst>
                <a:ext uri="{63B3BB69-23CF-44E3-9099-C40C66FF867C}">
                  <a14:compatExt spid="_x0000_s19470"/>
                </a:ext>
                <a:ext uri="{FF2B5EF4-FFF2-40B4-BE49-F238E27FC236}">
                  <a16:creationId xmlns:a16="http://schemas.microsoft.com/office/drawing/2014/main" id="{00000000-0008-0000-0300-00000E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390525</xdr:colOff>
          <xdr:row>135</xdr:row>
          <xdr:rowOff>47625</xdr:rowOff>
        </xdr:from>
        <xdr:to>
          <xdr:col>2</xdr:col>
          <xdr:colOff>1114425</xdr:colOff>
          <xdr:row>135</xdr:row>
          <xdr:rowOff>333375</xdr:rowOff>
        </xdr:to>
        <xdr:sp macro="" textlink="">
          <xdr:nvSpPr>
            <xdr:cNvPr id="19471" name="Check Box 15" hidden="1">
              <a:extLst>
                <a:ext uri="{63B3BB69-23CF-44E3-9099-C40C66FF867C}">
                  <a14:compatExt spid="_x0000_s19471"/>
                </a:ext>
                <a:ext uri="{FF2B5EF4-FFF2-40B4-BE49-F238E27FC236}">
                  <a16:creationId xmlns:a16="http://schemas.microsoft.com/office/drawing/2014/main" id="{00000000-0008-0000-0300-00000F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135</xdr:row>
          <xdr:rowOff>38100</xdr:rowOff>
        </xdr:from>
        <xdr:to>
          <xdr:col>3</xdr:col>
          <xdr:colOff>1209675</xdr:colOff>
          <xdr:row>136</xdr:row>
          <xdr:rowOff>9525</xdr:rowOff>
        </xdr:to>
        <xdr:sp macro="" textlink="">
          <xdr:nvSpPr>
            <xdr:cNvPr id="19472" name="Check Box 16" hidden="1">
              <a:extLst>
                <a:ext uri="{63B3BB69-23CF-44E3-9099-C40C66FF867C}">
                  <a14:compatExt spid="_x0000_s19472"/>
                </a:ext>
                <a:ext uri="{FF2B5EF4-FFF2-40B4-BE49-F238E27FC236}">
                  <a16:creationId xmlns:a16="http://schemas.microsoft.com/office/drawing/2014/main" id="{00000000-0008-0000-0300-000010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390525</xdr:colOff>
          <xdr:row>136</xdr:row>
          <xdr:rowOff>38100</xdr:rowOff>
        </xdr:from>
        <xdr:to>
          <xdr:col>2</xdr:col>
          <xdr:colOff>1104900</xdr:colOff>
          <xdr:row>136</xdr:row>
          <xdr:rowOff>352425</xdr:rowOff>
        </xdr:to>
        <xdr:sp macro="" textlink="">
          <xdr:nvSpPr>
            <xdr:cNvPr id="19473" name="Check Box 17" hidden="1">
              <a:extLst>
                <a:ext uri="{63B3BB69-23CF-44E3-9099-C40C66FF867C}">
                  <a14:compatExt spid="_x0000_s19473"/>
                </a:ext>
                <a:ext uri="{FF2B5EF4-FFF2-40B4-BE49-F238E27FC236}">
                  <a16:creationId xmlns:a16="http://schemas.microsoft.com/office/drawing/2014/main" id="{00000000-0008-0000-0300-000011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136</xdr:row>
          <xdr:rowOff>38100</xdr:rowOff>
        </xdr:from>
        <xdr:to>
          <xdr:col>3</xdr:col>
          <xdr:colOff>1209675</xdr:colOff>
          <xdr:row>136</xdr:row>
          <xdr:rowOff>352425</xdr:rowOff>
        </xdr:to>
        <xdr:sp macro="" textlink="">
          <xdr:nvSpPr>
            <xdr:cNvPr id="19474" name="Check Box 18" hidden="1">
              <a:extLst>
                <a:ext uri="{63B3BB69-23CF-44E3-9099-C40C66FF867C}">
                  <a14:compatExt spid="_x0000_s19474"/>
                </a:ext>
                <a:ext uri="{FF2B5EF4-FFF2-40B4-BE49-F238E27FC236}">
                  <a16:creationId xmlns:a16="http://schemas.microsoft.com/office/drawing/2014/main" id="{00000000-0008-0000-0300-000012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390525</xdr:colOff>
          <xdr:row>137</xdr:row>
          <xdr:rowOff>28575</xdr:rowOff>
        </xdr:from>
        <xdr:to>
          <xdr:col>2</xdr:col>
          <xdr:colOff>1114425</xdr:colOff>
          <xdr:row>137</xdr:row>
          <xdr:rowOff>371475</xdr:rowOff>
        </xdr:to>
        <xdr:sp macro="" textlink="">
          <xdr:nvSpPr>
            <xdr:cNvPr id="19475" name="Check Box 19" hidden="1">
              <a:extLst>
                <a:ext uri="{63B3BB69-23CF-44E3-9099-C40C66FF867C}">
                  <a14:compatExt spid="_x0000_s19475"/>
                </a:ext>
                <a:ext uri="{FF2B5EF4-FFF2-40B4-BE49-F238E27FC236}">
                  <a16:creationId xmlns:a16="http://schemas.microsoft.com/office/drawing/2014/main" id="{00000000-0008-0000-0300-000013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137</xdr:row>
          <xdr:rowOff>0</xdr:rowOff>
        </xdr:from>
        <xdr:to>
          <xdr:col>3</xdr:col>
          <xdr:colOff>1209675</xdr:colOff>
          <xdr:row>138</xdr:row>
          <xdr:rowOff>0</xdr:rowOff>
        </xdr:to>
        <xdr:sp macro="" textlink="">
          <xdr:nvSpPr>
            <xdr:cNvPr id="19476" name="Check Box 20" hidden="1">
              <a:extLst>
                <a:ext uri="{63B3BB69-23CF-44E3-9099-C40C66FF867C}">
                  <a14:compatExt spid="_x0000_s19476"/>
                </a:ext>
                <a:ext uri="{FF2B5EF4-FFF2-40B4-BE49-F238E27FC236}">
                  <a16:creationId xmlns:a16="http://schemas.microsoft.com/office/drawing/2014/main" id="{00000000-0008-0000-0300-000014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109</xdr:row>
          <xdr:rowOff>0</xdr:rowOff>
        </xdr:from>
        <xdr:to>
          <xdr:col>2</xdr:col>
          <xdr:colOff>1019175</xdr:colOff>
          <xdr:row>110</xdr:row>
          <xdr:rowOff>0</xdr:rowOff>
        </xdr:to>
        <xdr:sp macro="" textlink="">
          <xdr:nvSpPr>
            <xdr:cNvPr id="19477" name="Check Box 21" hidden="1">
              <a:extLst>
                <a:ext uri="{63B3BB69-23CF-44E3-9099-C40C66FF867C}">
                  <a14:compatExt spid="_x0000_s19477"/>
                </a:ext>
                <a:ext uri="{FF2B5EF4-FFF2-40B4-BE49-F238E27FC236}">
                  <a16:creationId xmlns:a16="http://schemas.microsoft.com/office/drawing/2014/main" id="{00000000-0008-0000-0300-00001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609600</xdr:colOff>
          <xdr:row>109</xdr:row>
          <xdr:rowOff>200025</xdr:rowOff>
        </xdr:from>
        <xdr:to>
          <xdr:col>2</xdr:col>
          <xdr:colOff>1028700</xdr:colOff>
          <xdr:row>110</xdr:row>
          <xdr:rowOff>200025</xdr:rowOff>
        </xdr:to>
        <xdr:sp macro="" textlink="">
          <xdr:nvSpPr>
            <xdr:cNvPr id="19478" name="Check Box 22" hidden="1">
              <a:extLst>
                <a:ext uri="{63B3BB69-23CF-44E3-9099-C40C66FF867C}">
                  <a14:compatExt spid="_x0000_s19478"/>
                </a:ext>
                <a:ext uri="{FF2B5EF4-FFF2-40B4-BE49-F238E27FC236}">
                  <a16:creationId xmlns:a16="http://schemas.microsoft.com/office/drawing/2014/main" id="{00000000-0008-0000-0300-00001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609600</xdr:colOff>
          <xdr:row>110</xdr:row>
          <xdr:rowOff>200025</xdr:rowOff>
        </xdr:from>
        <xdr:to>
          <xdr:col>2</xdr:col>
          <xdr:colOff>1028700</xdr:colOff>
          <xdr:row>111</xdr:row>
          <xdr:rowOff>200025</xdr:rowOff>
        </xdr:to>
        <xdr:sp macro="" textlink="">
          <xdr:nvSpPr>
            <xdr:cNvPr id="19479" name="Check Box 23" hidden="1">
              <a:extLst>
                <a:ext uri="{63B3BB69-23CF-44E3-9099-C40C66FF867C}">
                  <a14:compatExt spid="_x0000_s19479"/>
                </a:ext>
                <a:ext uri="{FF2B5EF4-FFF2-40B4-BE49-F238E27FC236}">
                  <a16:creationId xmlns:a16="http://schemas.microsoft.com/office/drawing/2014/main" id="{00000000-0008-0000-0300-00001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609600</xdr:colOff>
          <xdr:row>111</xdr:row>
          <xdr:rowOff>200025</xdr:rowOff>
        </xdr:from>
        <xdr:to>
          <xdr:col>2</xdr:col>
          <xdr:colOff>1028700</xdr:colOff>
          <xdr:row>112</xdr:row>
          <xdr:rowOff>200025</xdr:rowOff>
        </xdr:to>
        <xdr:sp macro="" textlink="">
          <xdr:nvSpPr>
            <xdr:cNvPr id="19480" name="Check Box 24" hidden="1">
              <a:extLst>
                <a:ext uri="{63B3BB69-23CF-44E3-9099-C40C66FF867C}">
                  <a14:compatExt spid="_x0000_s19480"/>
                </a:ext>
                <a:ext uri="{FF2B5EF4-FFF2-40B4-BE49-F238E27FC236}">
                  <a16:creationId xmlns:a16="http://schemas.microsoft.com/office/drawing/2014/main" id="{00000000-0008-0000-0300-00001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609600</xdr:colOff>
          <xdr:row>112</xdr:row>
          <xdr:rowOff>200025</xdr:rowOff>
        </xdr:from>
        <xdr:to>
          <xdr:col>2</xdr:col>
          <xdr:colOff>1028700</xdr:colOff>
          <xdr:row>113</xdr:row>
          <xdr:rowOff>200025</xdr:rowOff>
        </xdr:to>
        <xdr:sp macro="" textlink="">
          <xdr:nvSpPr>
            <xdr:cNvPr id="19481" name="Check Box 25" hidden="1">
              <a:extLst>
                <a:ext uri="{63B3BB69-23CF-44E3-9099-C40C66FF867C}">
                  <a14:compatExt spid="_x0000_s19481"/>
                </a:ext>
                <a:ext uri="{FF2B5EF4-FFF2-40B4-BE49-F238E27FC236}">
                  <a16:creationId xmlns:a16="http://schemas.microsoft.com/office/drawing/2014/main" id="{00000000-0008-0000-0300-00001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108</xdr:row>
          <xdr:rowOff>200025</xdr:rowOff>
        </xdr:from>
        <xdr:to>
          <xdr:col>3</xdr:col>
          <xdr:colOff>952500</xdr:colOff>
          <xdr:row>109</xdr:row>
          <xdr:rowOff>200025</xdr:rowOff>
        </xdr:to>
        <xdr:sp macro="" textlink="">
          <xdr:nvSpPr>
            <xdr:cNvPr id="19482" name="Check Box 26" hidden="1">
              <a:extLst>
                <a:ext uri="{63B3BB69-23CF-44E3-9099-C40C66FF867C}">
                  <a14:compatExt spid="_x0000_s19482"/>
                </a:ext>
                <a:ext uri="{FF2B5EF4-FFF2-40B4-BE49-F238E27FC236}">
                  <a16:creationId xmlns:a16="http://schemas.microsoft.com/office/drawing/2014/main" id="{00000000-0008-0000-0300-00001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110</xdr:row>
          <xdr:rowOff>9525</xdr:rowOff>
        </xdr:from>
        <xdr:to>
          <xdr:col>3</xdr:col>
          <xdr:colOff>952500</xdr:colOff>
          <xdr:row>111</xdr:row>
          <xdr:rowOff>9525</xdr:rowOff>
        </xdr:to>
        <xdr:sp macro="" textlink="">
          <xdr:nvSpPr>
            <xdr:cNvPr id="19483" name="Check Box 27" hidden="1">
              <a:extLst>
                <a:ext uri="{63B3BB69-23CF-44E3-9099-C40C66FF867C}">
                  <a14:compatExt spid="_x0000_s19483"/>
                </a:ext>
                <a:ext uri="{FF2B5EF4-FFF2-40B4-BE49-F238E27FC236}">
                  <a16:creationId xmlns:a16="http://schemas.microsoft.com/office/drawing/2014/main" id="{00000000-0008-0000-0300-00001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110</xdr:row>
          <xdr:rowOff>200025</xdr:rowOff>
        </xdr:from>
        <xdr:to>
          <xdr:col>3</xdr:col>
          <xdr:colOff>952500</xdr:colOff>
          <xdr:row>111</xdr:row>
          <xdr:rowOff>200025</xdr:rowOff>
        </xdr:to>
        <xdr:sp macro="" textlink="">
          <xdr:nvSpPr>
            <xdr:cNvPr id="19484" name="Check Box 28" hidden="1">
              <a:extLst>
                <a:ext uri="{63B3BB69-23CF-44E3-9099-C40C66FF867C}">
                  <a14:compatExt spid="_x0000_s19484"/>
                </a:ext>
                <a:ext uri="{FF2B5EF4-FFF2-40B4-BE49-F238E27FC236}">
                  <a16:creationId xmlns:a16="http://schemas.microsoft.com/office/drawing/2014/main" id="{00000000-0008-0000-0300-00001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112</xdr:row>
          <xdr:rowOff>9525</xdr:rowOff>
        </xdr:from>
        <xdr:to>
          <xdr:col>3</xdr:col>
          <xdr:colOff>952500</xdr:colOff>
          <xdr:row>113</xdr:row>
          <xdr:rowOff>9525</xdr:rowOff>
        </xdr:to>
        <xdr:sp macro="" textlink="">
          <xdr:nvSpPr>
            <xdr:cNvPr id="19485" name="Check Box 29" hidden="1">
              <a:extLst>
                <a:ext uri="{63B3BB69-23CF-44E3-9099-C40C66FF867C}">
                  <a14:compatExt spid="_x0000_s19485"/>
                </a:ext>
                <a:ext uri="{FF2B5EF4-FFF2-40B4-BE49-F238E27FC236}">
                  <a16:creationId xmlns:a16="http://schemas.microsoft.com/office/drawing/2014/main" id="{00000000-0008-0000-0300-00001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113</xdr:row>
          <xdr:rowOff>9525</xdr:rowOff>
        </xdr:from>
        <xdr:to>
          <xdr:col>3</xdr:col>
          <xdr:colOff>952500</xdr:colOff>
          <xdr:row>114</xdr:row>
          <xdr:rowOff>9525</xdr:rowOff>
        </xdr:to>
        <xdr:sp macro="" textlink="">
          <xdr:nvSpPr>
            <xdr:cNvPr id="19486" name="Check Box 30" hidden="1">
              <a:extLst>
                <a:ext uri="{63B3BB69-23CF-44E3-9099-C40C66FF867C}">
                  <a14:compatExt spid="_x0000_s19486"/>
                </a:ext>
                <a:ext uri="{FF2B5EF4-FFF2-40B4-BE49-F238E27FC236}">
                  <a16:creationId xmlns:a16="http://schemas.microsoft.com/office/drawing/2014/main" id="{00000000-0008-0000-0300-00001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714375</xdr:colOff>
          <xdr:row>108</xdr:row>
          <xdr:rowOff>200025</xdr:rowOff>
        </xdr:from>
        <xdr:to>
          <xdr:col>4</xdr:col>
          <xdr:colOff>1133475</xdr:colOff>
          <xdr:row>109</xdr:row>
          <xdr:rowOff>200025</xdr:rowOff>
        </xdr:to>
        <xdr:sp macro="" textlink="">
          <xdr:nvSpPr>
            <xdr:cNvPr id="19487" name="Check Box 31" hidden="1">
              <a:extLst>
                <a:ext uri="{63B3BB69-23CF-44E3-9099-C40C66FF867C}">
                  <a14:compatExt spid="_x0000_s19487"/>
                </a:ext>
                <a:ext uri="{FF2B5EF4-FFF2-40B4-BE49-F238E27FC236}">
                  <a16:creationId xmlns:a16="http://schemas.microsoft.com/office/drawing/2014/main" id="{00000000-0008-0000-0300-00001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714375</xdr:colOff>
          <xdr:row>109</xdr:row>
          <xdr:rowOff>200025</xdr:rowOff>
        </xdr:from>
        <xdr:to>
          <xdr:col>4</xdr:col>
          <xdr:colOff>1133475</xdr:colOff>
          <xdr:row>110</xdr:row>
          <xdr:rowOff>200025</xdr:rowOff>
        </xdr:to>
        <xdr:sp macro="" textlink="">
          <xdr:nvSpPr>
            <xdr:cNvPr id="19488" name="Check Box 32" hidden="1">
              <a:extLst>
                <a:ext uri="{63B3BB69-23CF-44E3-9099-C40C66FF867C}">
                  <a14:compatExt spid="_x0000_s19488"/>
                </a:ext>
                <a:ext uri="{FF2B5EF4-FFF2-40B4-BE49-F238E27FC236}">
                  <a16:creationId xmlns:a16="http://schemas.microsoft.com/office/drawing/2014/main" id="{00000000-0008-0000-0300-00002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714375</xdr:colOff>
          <xdr:row>111</xdr:row>
          <xdr:rowOff>9525</xdr:rowOff>
        </xdr:from>
        <xdr:to>
          <xdr:col>4</xdr:col>
          <xdr:colOff>1028700</xdr:colOff>
          <xdr:row>111</xdr:row>
          <xdr:rowOff>180975</xdr:rowOff>
        </xdr:to>
        <xdr:sp macro="" textlink="">
          <xdr:nvSpPr>
            <xdr:cNvPr id="19489" name="Check Box 33" hidden="1">
              <a:extLst>
                <a:ext uri="{63B3BB69-23CF-44E3-9099-C40C66FF867C}">
                  <a14:compatExt spid="_x0000_s19489"/>
                </a:ext>
                <a:ext uri="{FF2B5EF4-FFF2-40B4-BE49-F238E27FC236}">
                  <a16:creationId xmlns:a16="http://schemas.microsoft.com/office/drawing/2014/main" id="{00000000-0008-0000-0300-00002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714375</xdr:colOff>
          <xdr:row>111</xdr:row>
          <xdr:rowOff>200025</xdr:rowOff>
        </xdr:from>
        <xdr:to>
          <xdr:col>4</xdr:col>
          <xdr:colOff>1133475</xdr:colOff>
          <xdr:row>112</xdr:row>
          <xdr:rowOff>200025</xdr:rowOff>
        </xdr:to>
        <xdr:sp macro="" textlink="">
          <xdr:nvSpPr>
            <xdr:cNvPr id="19490" name="Check Box 34" hidden="1">
              <a:extLst>
                <a:ext uri="{63B3BB69-23CF-44E3-9099-C40C66FF867C}">
                  <a14:compatExt spid="_x0000_s19490"/>
                </a:ext>
                <a:ext uri="{FF2B5EF4-FFF2-40B4-BE49-F238E27FC236}">
                  <a16:creationId xmlns:a16="http://schemas.microsoft.com/office/drawing/2014/main" id="{00000000-0008-0000-0300-00002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714375</xdr:colOff>
          <xdr:row>112</xdr:row>
          <xdr:rowOff>200025</xdr:rowOff>
        </xdr:from>
        <xdr:to>
          <xdr:col>4</xdr:col>
          <xdr:colOff>1133475</xdr:colOff>
          <xdr:row>113</xdr:row>
          <xdr:rowOff>200025</xdr:rowOff>
        </xdr:to>
        <xdr:sp macro="" textlink="">
          <xdr:nvSpPr>
            <xdr:cNvPr id="19491" name="Check Box 35" hidden="1">
              <a:extLst>
                <a:ext uri="{63B3BB69-23CF-44E3-9099-C40C66FF867C}">
                  <a14:compatExt spid="_x0000_s19491"/>
                </a:ext>
                <a:ext uri="{FF2B5EF4-FFF2-40B4-BE49-F238E27FC236}">
                  <a16:creationId xmlns:a16="http://schemas.microsoft.com/office/drawing/2014/main" id="{00000000-0008-0000-0300-00002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847725</xdr:colOff>
          <xdr:row>108</xdr:row>
          <xdr:rowOff>200025</xdr:rowOff>
        </xdr:from>
        <xdr:to>
          <xdr:col>5</xdr:col>
          <xdr:colOff>1266825</xdr:colOff>
          <xdr:row>109</xdr:row>
          <xdr:rowOff>200025</xdr:rowOff>
        </xdr:to>
        <xdr:sp macro="" textlink="">
          <xdr:nvSpPr>
            <xdr:cNvPr id="19492" name="Check Box 36" hidden="1">
              <a:extLst>
                <a:ext uri="{63B3BB69-23CF-44E3-9099-C40C66FF867C}">
                  <a14:compatExt spid="_x0000_s19492"/>
                </a:ext>
                <a:ext uri="{FF2B5EF4-FFF2-40B4-BE49-F238E27FC236}">
                  <a16:creationId xmlns:a16="http://schemas.microsoft.com/office/drawing/2014/main" id="{00000000-0008-0000-0300-00002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847725</xdr:colOff>
          <xdr:row>109</xdr:row>
          <xdr:rowOff>200025</xdr:rowOff>
        </xdr:from>
        <xdr:to>
          <xdr:col>5</xdr:col>
          <xdr:colOff>1266825</xdr:colOff>
          <xdr:row>110</xdr:row>
          <xdr:rowOff>200025</xdr:rowOff>
        </xdr:to>
        <xdr:sp macro="" textlink="">
          <xdr:nvSpPr>
            <xdr:cNvPr id="19493" name="Check Box 37" hidden="1">
              <a:extLst>
                <a:ext uri="{63B3BB69-23CF-44E3-9099-C40C66FF867C}">
                  <a14:compatExt spid="_x0000_s19493"/>
                </a:ext>
                <a:ext uri="{FF2B5EF4-FFF2-40B4-BE49-F238E27FC236}">
                  <a16:creationId xmlns:a16="http://schemas.microsoft.com/office/drawing/2014/main" id="{00000000-0008-0000-0300-00002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847725</xdr:colOff>
          <xdr:row>110</xdr:row>
          <xdr:rowOff>200025</xdr:rowOff>
        </xdr:from>
        <xdr:to>
          <xdr:col>5</xdr:col>
          <xdr:colOff>1266825</xdr:colOff>
          <xdr:row>111</xdr:row>
          <xdr:rowOff>200025</xdr:rowOff>
        </xdr:to>
        <xdr:sp macro="" textlink="">
          <xdr:nvSpPr>
            <xdr:cNvPr id="19494" name="Check Box 38" hidden="1">
              <a:extLst>
                <a:ext uri="{63B3BB69-23CF-44E3-9099-C40C66FF867C}">
                  <a14:compatExt spid="_x0000_s19494"/>
                </a:ext>
                <a:ext uri="{FF2B5EF4-FFF2-40B4-BE49-F238E27FC236}">
                  <a16:creationId xmlns:a16="http://schemas.microsoft.com/office/drawing/2014/main" id="{00000000-0008-0000-0300-00002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847725</xdr:colOff>
          <xdr:row>112</xdr:row>
          <xdr:rowOff>9525</xdr:rowOff>
        </xdr:from>
        <xdr:to>
          <xdr:col>5</xdr:col>
          <xdr:colOff>1266825</xdr:colOff>
          <xdr:row>113</xdr:row>
          <xdr:rowOff>9525</xdr:rowOff>
        </xdr:to>
        <xdr:sp macro="" textlink="">
          <xdr:nvSpPr>
            <xdr:cNvPr id="19495" name="Check Box 39" hidden="1">
              <a:extLst>
                <a:ext uri="{63B3BB69-23CF-44E3-9099-C40C66FF867C}">
                  <a14:compatExt spid="_x0000_s19495"/>
                </a:ext>
                <a:ext uri="{FF2B5EF4-FFF2-40B4-BE49-F238E27FC236}">
                  <a16:creationId xmlns:a16="http://schemas.microsoft.com/office/drawing/2014/main" id="{00000000-0008-0000-0300-00002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847725</xdr:colOff>
          <xdr:row>112</xdr:row>
          <xdr:rowOff>200025</xdr:rowOff>
        </xdr:from>
        <xdr:to>
          <xdr:col>5</xdr:col>
          <xdr:colOff>1266825</xdr:colOff>
          <xdr:row>113</xdr:row>
          <xdr:rowOff>200025</xdr:rowOff>
        </xdr:to>
        <xdr:sp macro="" textlink="">
          <xdr:nvSpPr>
            <xdr:cNvPr id="19496" name="Check Box 40" hidden="1">
              <a:extLst>
                <a:ext uri="{63B3BB69-23CF-44E3-9099-C40C66FF867C}">
                  <a14:compatExt spid="_x0000_s19496"/>
                </a:ext>
                <a:ext uri="{FF2B5EF4-FFF2-40B4-BE49-F238E27FC236}">
                  <a16:creationId xmlns:a16="http://schemas.microsoft.com/office/drawing/2014/main" id="{00000000-0008-0000-0300-00002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581025</xdr:colOff>
          <xdr:row>108</xdr:row>
          <xdr:rowOff>200025</xdr:rowOff>
        </xdr:from>
        <xdr:to>
          <xdr:col>6</xdr:col>
          <xdr:colOff>1000125</xdr:colOff>
          <xdr:row>109</xdr:row>
          <xdr:rowOff>200025</xdr:rowOff>
        </xdr:to>
        <xdr:sp macro="" textlink="">
          <xdr:nvSpPr>
            <xdr:cNvPr id="19497" name="Check Box 41" hidden="1">
              <a:extLst>
                <a:ext uri="{63B3BB69-23CF-44E3-9099-C40C66FF867C}">
                  <a14:compatExt spid="_x0000_s19497"/>
                </a:ext>
                <a:ext uri="{FF2B5EF4-FFF2-40B4-BE49-F238E27FC236}">
                  <a16:creationId xmlns:a16="http://schemas.microsoft.com/office/drawing/2014/main" id="{00000000-0008-0000-0300-00002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581025</xdr:colOff>
          <xdr:row>110</xdr:row>
          <xdr:rowOff>9525</xdr:rowOff>
        </xdr:from>
        <xdr:to>
          <xdr:col>6</xdr:col>
          <xdr:colOff>1000125</xdr:colOff>
          <xdr:row>111</xdr:row>
          <xdr:rowOff>9525</xdr:rowOff>
        </xdr:to>
        <xdr:sp macro="" textlink="">
          <xdr:nvSpPr>
            <xdr:cNvPr id="19498" name="Check Box 42" hidden="1">
              <a:extLst>
                <a:ext uri="{63B3BB69-23CF-44E3-9099-C40C66FF867C}">
                  <a14:compatExt spid="_x0000_s19498"/>
                </a:ext>
                <a:ext uri="{FF2B5EF4-FFF2-40B4-BE49-F238E27FC236}">
                  <a16:creationId xmlns:a16="http://schemas.microsoft.com/office/drawing/2014/main" id="{00000000-0008-0000-0300-00002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581025</xdr:colOff>
          <xdr:row>111</xdr:row>
          <xdr:rowOff>0</xdr:rowOff>
        </xdr:from>
        <xdr:to>
          <xdr:col>6</xdr:col>
          <xdr:colOff>1000125</xdr:colOff>
          <xdr:row>112</xdr:row>
          <xdr:rowOff>28575</xdr:rowOff>
        </xdr:to>
        <xdr:sp macro="" textlink="">
          <xdr:nvSpPr>
            <xdr:cNvPr id="19499" name="Check Box 43" hidden="1">
              <a:extLst>
                <a:ext uri="{63B3BB69-23CF-44E3-9099-C40C66FF867C}">
                  <a14:compatExt spid="_x0000_s19499"/>
                </a:ext>
                <a:ext uri="{FF2B5EF4-FFF2-40B4-BE49-F238E27FC236}">
                  <a16:creationId xmlns:a16="http://schemas.microsoft.com/office/drawing/2014/main" id="{00000000-0008-0000-0300-00002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581025</xdr:colOff>
          <xdr:row>111</xdr:row>
          <xdr:rowOff>200025</xdr:rowOff>
        </xdr:from>
        <xdr:to>
          <xdr:col>6</xdr:col>
          <xdr:colOff>1000125</xdr:colOff>
          <xdr:row>112</xdr:row>
          <xdr:rowOff>200025</xdr:rowOff>
        </xdr:to>
        <xdr:sp macro="" textlink="">
          <xdr:nvSpPr>
            <xdr:cNvPr id="19500" name="Check Box 44" hidden="1">
              <a:extLst>
                <a:ext uri="{63B3BB69-23CF-44E3-9099-C40C66FF867C}">
                  <a14:compatExt spid="_x0000_s19500"/>
                </a:ext>
                <a:ext uri="{FF2B5EF4-FFF2-40B4-BE49-F238E27FC236}">
                  <a16:creationId xmlns:a16="http://schemas.microsoft.com/office/drawing/2014/main" id="{00000000-0008-0000-0300-00002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581025</xdr:colOff>
          <xdr:row>112</xdr:row>
          <xdr:rowOff>200025</xdr:rowOff>
        </xdr:from>
        <xdr:to>
          <xdr:col>6</xdr:col>
          <xdr:colOff>1000125</xdr:colOff>
          <xdr:row>113</xdr:row>
          <xdr:rowOff>200025</xdr:rowOff>
        </xdr:to>
        <xdr:sp macro="" textlink="">
          <xdr:nvSpPr>
            <xdr:cNvPr id="19501" name="Check Box 45" hidden="1">
              <a:extLst>
                <a:ext uri="{63B3BB69-23CF-44E3-9099-C40C66FF867C}">
                  <a14:compatExt spid="_x0000_s19501"/>
                </a:ext>
                <a:ext uri="{FF2B5EF4-FFF2-40B4-BE49-F238E27FC236}">
                  <a16:creationId xmlns:a16="http://schemas.microsoft.com/office/drawing/2014/main" id="{00000000-0008-0000-0300-00002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142875</xdr:colOff>
          <xdr:row>149</xdr:row>
          <xdr:rowOff>314325</xdr:rowOff>
        </xdr:from>
        <xdr:to>
          <xdr:col>1</xdr:col>
          <xdr:colOff>9525</xdr:colOff>
          <xdr:row>151</xdr:row>
          <xdr:rowOff>0</xdr:rowOff>
        </xdr:to>
        <xdr:sp macro="" textlink="">
          <xdr:nvSpPr>
            <xdr:cNvPr id="19502" name="Check Box 46" hidden="1">
              <a:extLst>
                <a:ext uri="{63B3BB69-23CF-44E3-9099-C40C66FF867C}">
                  <a14:compatExt spid="_x0000_s19502"/>
                </a:ext>
                <a:ext uri="{FF2B5EF4-FFF2-40B4-BE49-F238E27FC236}">
                  <a16:creationId xmlns:a16="http://schemas.microsoft.com/office/drawing/2014/main" id="{00000000-0008-0000-0300-00002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142875</xdr:colOff>
          <xdr:row>150</xdr:row>
          <xdr:rowOff>190500</xdr:rowOff>
        </xdr:from>
        <xdr:to>
          <xdr:col>1</xdr:col>
          <xdr:colOff>9525</xdr:colOff>
          <xdr:row>152</xdr:row>
          <xdr:rowOff>9525</xdr:rowOff>
        </xdr:to>
        <xdr:sp macro="" textlink="">
          <xdr:nvSpPr>
            <xdr:cNvPr id="19503" name="Check Box 47" hidden="1">
              <a:extLst>
                <a:ext uri="{63B3BB69-23CF-44E3-9099-C40C66FF867C}">
                  <a14:compatExt spid="_x0000_s19503"/>
                </a:ext>
                <a:ext uri="{FF2B5EF4-FFF2-40B4-BE49-F238E27FC236}">
                  <a16:creationId xmlns:a16="http://schemas.microsoft.com/office/drawing/2014/main" id="{00000000-0008-0000-0300-00002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142875</xdr:colOff>
          <xdr:row>151</xdr:row>
          <xdr:rowOff>190500</xdr:rowOff>
        </xdr:from>
        <xdr:to>
          <xdr:col>1</xdr:col>
          <xdr:colOff>9525</xdr:colOff>
          <xdr:row>153</xdr:row>
          <xdr:rowOff>9525</xdr:rowOff>
        </xdr:to>
        <xdr:sp macro="" textlink="">
          <xdr:nvSpPr>
            <xdr:cNvPr id="19504" name="Check Box 48" hidden="1">
              <a:extLst>
                <a:ext uri="{63B3BB69-23CF-44E3-9099-C40C66FF867C}">
                  <a14:compatExt spid="_x0000_s19504"/>
                </a:ext>
                <a:ext uri="{FF2B5EF4-FFF2-40B4-BE49-F238E27FC236}">
                  <a16:creationId xmlns:a16="http://schemas.microsoft.com/office/drawing/2014/main" id="{00000000-0008-0000-0300-00003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142875</xdr:colOff>
          <xdr:row>152</xdr:row>
          <xdr:rowOff>219075</xdr:rowOff>
        </xdr:from>
        <xdr:to>
          <xdr:col>1</xdr:col>
          <xdr:colOff>9525</xdr:colOff>
          <xdr:row>154</xdr:row>
          <xdr:rowOff>9525</xdr:rowOff>
        </xdr:to>
        <xdr:sp macro="" textlink="">
          <xdr:nvSpPr>
            <xdr:cNvPr id="19505" name="Check Box 49" hidden="1">
              <a:extLst>
                <a:ext uri="{63B3BB69-23CF-44E3-9099-C40C66FF867C}">
                  <a14:compatExt spid="_x0000_s19505"/>
                </a:ext>
                <a:ext uri="{FF2B5EF4-FFF2-40B4-BE49-F238E27FC236}">
                  <a16:creationId xmlns:a16="http://schemas.microsoft.com/office/drawing/2014/main" id="{00000000-0008-0000-0300-00003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142875</xdr:colOff>
          <xdr:row>153</xdr:row>
          <xdr:rowOff>219075</xdr:rowOff>
        </xdr:from>
        <xdr:to>
          <xdr:col>1</xdr:col>
          <xdr:colOff>9525</xdr:colOff>
          <xdr:row>155</xdr:row>
          <xdr:rowOff>9525</xdr:rowOff>
        </xdr:to>
        <xdr:sp macro="" textlink="">
          <xdr:nvSpPr>
            <xdr:cNvPr id="19506" name="Check Box 50" hidden="1">
              <a:extLst>
                <a:ext uri="{63B3BB69-23CF-44E3-9099-C40C66FF867C}">
                  <a14:compatExt spid="_x0000_s19506"/>
                </a:ext>
                <a:ext uri="{FF2B5EF4-FFF2-40B4-BE49-F238E27FC236}">
                  <a16:creationId xmlns:a16="http://schemas.microsoft.com/office/drawing/2014/main" id="{00000000-0008-0000-0300-00003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142875</xdr:colOff>
          <xdr:row>154</xdr:row>
          <xdr:rowOff>190500</xdr:rowOff>
        </xdr:from>
        <xdr:to>
          <xdr:col>1</xdr:col>
          <xdr:colOff>9525</xdr:colOff>
          <xdr:row>155</xdr:row>
          <xdr:rowOff>200025</xdr:rowOff>
        </xdr:to>
        <xdr:sp macro="" textlink="">
          <xdr:nvSpPr>
            <xdr:cNvPr id="19507" name="Check Box 51" hidden="1">
              <a:extLst>
                <a:ext uri="{63B3BB69-23CF-44E3-9099-C40C66FF867C}">
                  <a14:compatExt spid="_x0000_s19507"/>
                </a:ext>
                <a:ext uri="{FF2B5EF4-FFF2-40B4-BE49-F238E27FC236}">
                  <a16:creationId xmlns:a16="http://schemas.microsoft.com/office/drawing/2014/main" id="{00000000-0008-0000-0300-00003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142875</xdr:colOff>
          <xdr:row>155</xdr:row>
          <xdr:rowOff>190500</xdr:rowOff>
        </xdr:from>
        <xdr:to>
          <xdr:col>1</xdr:col>
          <xdr:colOff>9525</xdr:colOff>
          <xdr:row>156</xdr:row>
          <xdr:rowOff>200025</xdr:rowOff>
        </xdr:to>
        <xdr:sp macro="" textlink="">
          <xdr:nvSpPr>
            <xdr:cNvPr id="19508" name="Check Box 52" hidden="1">
              <a:extLst>
                <a:ext uri="{63B3BB69-23CF-44E3-9099-C40C66FF867C}">
                  <a14:compatExt spid="_x0000_s19508"/>
                </a:ext>
                <a:ext uri="{FF2B5EF4-FFF2-40B4-BE49-F238E27FC236}">
                  <a16:creationId xmlns:a16="http://schemas.microsoft.com/office/drawing/2014/main" id="{00000000-0008-0000-0300-00003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142875</xdr:colOff>
          <xdr:row>277</xdr:row>
          <xdr:rowOff>0</xdr:rowOff>
        </xdr:from>
        <xdr:to>
          <xdr:col>1</xdr:col>
          <xdr:colOff>9525</xdr:colOff>
          <xdr:row>278</xdr:row>
          <xdr:rowOff>0</xdr:rowOff>
        </xdr:to>
        <xdr:sp macro="" textlink="">
          <xdr:nvSpPr>
            <xdr:cNvPr id="19509" name="Check Box 53" hidden="1">
              <a:extLst>
                <a:ext uri="{63B3BB69-23CF-44E3-9099-C40C66FF867C}">
                  <a14:compatExt spid="_x0000_s19509"/>
                </a:ext>
                <a:ext uri="{FF2B5EF4-FFF2-40B4-BE49-F238E27FC236}">
                  <a16:creationId xmlns:a16="http://schemas.microsoft.com/office/drawing/2014/main" id="{00000000-0008-0000-0300-00003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142875</xdr:colOff>
          <xdr:row>277</xdr:row>
          <xdr:rowOff>200025</xdr:rowOff>
        </xdr:from>
        <xdr:to>
          <xdr:col>1</xdr:col>
          <xdr:colOff>9525</xdr:colOff>
          <xdr:row>278</xdr:row>
          <xdr:rowOff>200025</xdr:rowOff>
        </xdr:to>
        <xdr:sp macro="" textlink="">
          <xdr:nvSpPr>
            <xdr:cNvPr id="19510" name="Check Box 54" hidden="1">
              <a:extLst>
                <a:ext uri="{63B3BB69-23CF-44E3-9099-C40C66FF867C}">
                  <a14:compatExt spid="_x0000_s19510"/>
                </a:ext>
                <a:ext uri="{FF2B5EF4-FFF2-40B4-BE49-F238E27FC236}">
                  <a16:creationId xmlns:a16="http://schemas.microsoft.com/office/drawing/2014/main" id="{00000000-0008-0000-0300-00003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142875</xdr:colOff>
          <xdr:row>278</xdr:row>
          <xdr:rowOff>200025</xdr:rowOff>
        </xdr:from>
        <xdr:to>
          <xdr:col>1</xdr:col>
          <xdr:colOff>9525</xdr:colOff>
          <xdr:row>279</xdr:row>
          <xdr:rowOff>200025</xdr:rowOff>
        </xdr:to>
        <xdr:sp macro="" textlink="">
          <xdr:nvSpPr>
            <xdr:cNvPr id="19511" name="Check Box 55" hidden="1">
              <a:extLst>
                <a:ext uri="{63B3BB69-23CF-44E3-9099-C40C66FF867C}">
                  <a14:compatExt spid="_x0000_s19511"/>
                </a:ext>
                <a:ext uri="{FF2B5EF4-FFF2-40B4-BE49-F238E27FC236}">
                  <a16:creationId xmlns:a16="http://schemas.microsoft.com/office/drawing/2014/main" id="{00000000-0008-0000-0300-00003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152400</xdr:colOff>
          <xdr:row>283</xdr:row>
          <xdr:rowOff>0</xdr:rowOff>
        </xdr:from>
        <xdr:to>
          <xdr:col>0</xdr:col>
          <xdr:colOff>523875</xdr:colOff>
          <xdr:row>284</xdr:row>
          <xdr:rowOff>0</xdr:rowOff>
        </xdr:to>
        <xdr:sp macro="" textlink="">
          <xdr:nvSpPr>
            <xdr:cNvPr id="19512" name="Check Box 56" hidden="1">
              <a:extLst>
                <a:ext uri="{63B3BB69-23CF-44E3-9099-C40C66FF867C}">
                  <a14:compatExt spid="_x0000_s19512"/>
                </a:ext>
                <a:ext uri="{FF2B5EF4-FFF2-40B4-BE49-F238E27FC236}">
                  <a16:creationId xmlns:a16="http://schemas.microsoft.com/office/drawing/2014/main" id="{00000000-0008-0000-0300-00003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152400</xdr:colOff>
          <xdr:row>283</xdr:row>
          <xdr:rowOff>200025</xdr:rowOff>
        </xdr:from>
        <xdr:to>
          <xdr:col>0</xdr:col>
          <xdr:colOff>523875</xdr:colOff>
          <xdr:row>284</xdr:row>
          <xdr:rowOff>200025</xdr:rowOff>
        </xdr:to>
        <xdr:sp macro="" textlink="">
          <xdr:nvSpPr>
            <xdr:cNvPr id="19513" name="Check Box 57" hidden="1">
              <a:extLst>
                <a:ext uri="{63B3BB69-23CF-44E3-9099-C40C66FF867C}">
                  <a14:compatExt spid="_x0000_s19513"/>
                </a:ext>
                <a:ext uri="{FF2B5EF4-FFF2-40B4-BE49-F238E27FC236}">
                  <a16:creationId xmlns:a16="http://schemas.microsoft.com/office/drawing/2014/main" id="{00000000-0008-0000-0300-00003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152400</xdr:colOff>
          <xdr:row>284</xdr:row>
          <xdr:rowOff>200025</xdr:rowOff>
        </xdr:from>
        <xdr:to>
          <xdr:col>0</xdr:col>
          <xdr:colOff>523875</xdr:colOff>
          <xdr:row>285</xdr:row>
          <xdr:rowOff>200025</xdr:rowOff>
        </xdr:to>
        <xdr:sp macro="" textlink="">
          <xdr:nvSpPr>
            <xdr:cNvPr id="19514" name="Check Box 58" hidden="1">
              <a:extLst>
                <a:ext uri="{63B3BB69-23CF-44E3-9099-C40C66FF867C}">
                  <a14:compatExt spid="_x0000_s19514"/>
                </a:ext>
                <a:ext uri="{FF2B5EF4-FFF2-40B4-BE49-F238E27FC236}">
                  <a16:creationId xmlns:a16="http://schemas.microsoft.com/office/drawing/2014/main" id="{00000000-0008-0000-0300-00003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152400</xdr:colOff>
          <xdr:row>285</xdr:row>
          <xdr:rowOff>200025</xdr:rowOff>
        </xdr:from>
        <xdr:to>
          <xdr:col>0</xdr:col>
          <xdr:colOff>523875</xdr:colOff>
          <xdr:row>286</xdr:row>
          <xdr:rowOff>200025</xdr:rowOff>
        </xdr:to>
        <xdr:sp macro="" textlink="">
          <xdr:nvSpPr>
            <xdr:cNvPr id="19515" name="Check Box 59" hidden="1">
              <a:extLst>
                <a:ext uri="{63B3BB69-23CF-44E3-9099-C40C66FF867C}">
                  <a14:compatExt spid="_x0000_s19515"/>
                </a:ext>
                <a:ext uri="{FF2B5EF4-FFF2-40B4-BE49-F238E27FC236}">
                  <a16:creationId xmlns:a16="http://schemas.microsoft.com/office/drawing/2014/main" id="{00000000-0008-0000-0300-00003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152400</xdr:colOff>
          <xdr:row>292</xdr:row>
          <xdr:rowOff>219075</xdr:rowOff>
        </xdr:from>
        <xdr:to>
          <xdr:col>0</xdr:col>
          <xdr:colOff>504825</xdr:colOff>
          <xdr:row>294</xdr:row>
          <xdr:rowOff>9525</xdr:rowOff>
        </xdr:to>
        <xdr:sp macro="" textlink="">
          <xdr:nvSpPr>
            <xdr:cNvPr id="19519" name="Option Button 63" hidden="1">
              <a:extLst>
                <a:ext uri="{63B3BB69-23CF-44E3-9099-C40C66FF867C}">
                  <a14:compatExt spid="_x0000_s19519"/>
                </a:ext>
                <a:ext uri="{FF2B5EF4-FFF2-40B4-BE49-F238E27FC236}">
                  <a16:creationId xmlns:a16="http://schemas.microsoft.com/office/drawing/2014/main" id="{00000000-0008-0000-0300-00003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152400</xdr:colOff>
          <xdr:row>293</xdr:row>
          <xdr:rowOff>200025</xdr:rowOff>
        </xdr:from>
        <xdr:to>
          <xdr:col>0</xdr:col>
          <xdr:colOff>504825</xdr:colOff>
          <xdr:row>295</xdr:row>
          <xdr:rowOff>9525</xdr:rowOff>
        </xdr:to>
        <xdr:sp macro="" textlink="">
          <xdr:nvSpPr>
            <xdr:cNvPr id="19520" name="Option Button 64" hidden="1">
              <a:extLst>
                <a:ext uri="{63B3BB69-23CF-44E3-9099-C40C66FF867C}">
                  <a14:compatExt spid="_x0000_s19520"/>
                </a:ext>
                <a:ext uri="{FF2B5EF4-FFF2-40B4-BE49-F238E27FC236}">
                  <a16:creationId xmlns:a16="http://schemas.microsoft.com/office/drawing/2014/main" id="{00000000-0008-0000-0300-00004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152400</xdr:colOff>
          <xdr:row>294</xdr:row>
          <xdr:rowOff>190500</xdr:rowOff>
        </xdr:from>
        <xdr:to>
          <xdr:col>0</xdr:col>
          <xdr:colOff>504825</xdr:colOff>
          <xdr:row>295</xdr:row>
          <xdr:rowOff>200025</xdr:rowOff>
        </xdr:to>
        <xdr:sp macro="" textlink="">
          <xdr:nvSpPr>
            <xdr:cNvPr id="19521" name="Option Button 65" hidden="1">
              <a:extLst>
                <a:ext uri="{63B3BB69-23CF-44E3-9099-C40C66FF867C}">
                  <a14:compatExt spid="_x0000_s19521"/>
                </a:ext>
                <a:ext uri="{FF2B5EF4-FFF2-40B4-BE49-F238E27FC236}">
                  <a16:creationId xmlns:a16="http://schemas.microsoft.com/office/drawing/2014/main" id="{00000000-0008-0000-0300-00004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257</xdr:row>
          <xdr:rowOff>0</xdr:rowOff>
        </xdr:from>
        <xdr:to>
          <xdr:col>0</xdr:col>
          <xdr:colOff>523875</xdr:colOff>
          <xdr:row>258</xdr:row>
          <xdr:rowOff>9525</xdr:rowOff>
        </xdr:to>
        <xdr:sp macro="" textlink="">
          <xdr:nvSpPr>
            <xdr:cNvPr id="19531" name="Check Box 75" hidden="1">
              <a:extLst>
                <a:ext uri="{63B3BB69-23CF-44E3-9099-C40C66FF867C}">
                  <a14:compatExt spid="_x0000_s19531"/>
                </a:ext>
                <a:ext uri="{FF2B5EF4-FFF2-40B4-BE49-F238E27FC236}">
                  <a16:creationId xmlns:a16="http://schemas.microsoft.com/office/drawing/2014/main" id="{00000000-0008-0000-0300-00004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257</xdr:row>
          <xdr:rowOff>200025</xdr:rowOff>
        </xdr:from>
        <xdr:to>
          <xdr:col>0</xdr:col>
          <xdr:colOff>523875</xdr:colOff>
          <xdr:row>259</xdr:row>
          <xdr:rowOff>9525</xdr:rowOff>
        </xdr:to>
        <xdr:sp macro="" textlink="">
          <xdr:nvSpPr>
            <xdr:cNvPr id="19532" name="Check Box 76" hidden="1">
              <a:extLst>
                <a:ext uri="{63B3BB69-23CF-44E3-9099-C40C66FF867C}">
                  <a14:compatExt spid="_x0000_s19532"/>
                </a:ext>
                <a:ext uri="{FF2B5EF4-FFF2-40B4-BE49-F238E27FC236}">
                  <a16:creationId xmlns:a16="http://schemas.microsoft.com/office/drawing/2014/main" id="{00000000-0008-0000-0300-00004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258</xdr:row>
          <xdr:rowOff>190500</xdr:rowOff>
        </xdr:from>
        <xdr:to>
          <xdr:col>0</xdr:col>
          <xdr:colOff>523875</xdr:colOff>
          <xdr:row>259</xdr:row>
          <xdr:rowOff>200025</xdr:rowOff>
        </xdr:to>
        <xdr:sp macro="" textlink="">
          <xdr:nvSpPr>
            <xdr:cNvPr id="19533" name="Check Box 77" hidden="1">
              <a:extLst>
                <a:ext uri="{63B3BB69-23CF-44E3-9099-C40C66FF867C}">
                  <a14:compatExt spid="_x0000_s19533"/>
                </a:ext>
                <a:ext uri="{FF2B5EF4-FFF2-40B4-BE49-F238E27FC236}">
                  <a16:creationId xmlns:a16="http://schemas.microsoft.com/office/drawing/2014/main" id="{00000000-0008-0000-0300-00004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65</xdr:row>
          <xdr:rowOff>0</xdr:rowOff>
        </xdr:from>
        <xdr:to>
          <xdr:col>0</xdr:col>
          <xdr:colOff>495300</xdr:colOff>
          <xdr:row>66</xdr:row>
          <xdr:rowOff>9525</xdr:rowOff>
        </xdr:to>
        <xdr:sp macro="" textlink="">
          <xdr:nvSpPr>
            <xdr:cNvPr id="19534" name="Check Box 78" hidden="1">
              <a:extLst>
                <a:ext uri="{63B3BB69-23CF-44E3-9099-C40C66FF867C}">
                  <a14:compatExt spid="_x0000_s19534"/>
                </a:ext>
                <a:ext uri="{FF2B5EF4-FFF2-40B4-BE49-F238E27FC236}">
                  <a16:creationId xmlns:a16="http://schemas.microsoft.com/office/drawing/2014/main" id="{00000000-0008-0000-0300-00004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66</xdr:row>
          <xdr:rowOff>190500</xdr:rowOff>
        </xdr:from>
        <xdr:to>
          <xdr:col>0</xdr:col>
          <xdr:colOff>495300</xdr:colOff>
          <xdr:row>67</xdr:row>
          <xdr:rowOff>200025</xdr:rowOff>
        </xdr:to>
        <xdr:sp macro="" textlink="">
          <xdr:nvSpPr>
            <xdr:cNvPr id="19535" name="Check Box 79" hidden="1">
              <a:extLst>
                <a:ext uri="{63B3BB69-23CF-44E3-9099-C40C66FF867C}">
                  <a14:compatExt spid="_x0000_s19535"/>
                </a:ext>
                <a:ext uri="{FF2B5EF4-FFF2-40B4-BE49-F238E27FC236}">
                  <a16:creationId xmlns:a16="http://schemas.microsoft.com/office/drawing/2014/main" id="{00000000-0008-0000-0300-00004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67</xdr:row>
          <xdr:rowOff>200025</xdr:rowOff>
        </xdr:from>
        <xdr:to>
          <xdr:col>0</xdr:col>
          <xdr:colOff>495300</xdr:colOff>
          <xdr:row>68</xdr:row>
          <xdr:rowOff>209550</xdr:rowOff>
        </xdr:to>
        <xdr:sp macro="" textlink="">
          <xdr:nvSpPr>
            <xdr:cNvPr id="19536" name="Check Box 80" hidden="1">
              <a:extLst>
                <a:ext uri="{63B3BB69-23CF-44E3-9099-C40C66FF867C}">
                  <a14:compatExt spid="_x0000_s19536"/>
                </a:ext>
                <a:ext uri="{FF2B5EF4-FFF2-40B4-BE49-F238E27FC236}">
                  <a16:creationId xmlns:a16="http://schemas.microsoft.com/office/drawing/2014/main" id="{00000000-0008-0000-0300-00005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68</xdr:row>
          <xdr:rowOff>200025</xdr:rowOff>
        </xdr:from>
        <xdr:to>
          <xdr:col>0</xdr:col>
          <xdr:colOff>495300</xdr:colOff>
          <xdr:row>69</xdr:row>
          <xdr:rowOff>209550</xdr:rowOff>
        </xdr:to>
        <xdr:sp macro="" textlink="">
          <xdr:nvSpPr>
            <xdr:cNvPr id="19537" name="Check Box 81" hidden="1">
              <a:extLst>
                <a:ext uri="{63B3BB69-23CF-44E3-9099-C40C66FF867C}">
                  <a14:compatExt spid="_x0000_s19537"/>
                </a:ext>
                <a:ext uri="{FF2B5EF4-FFF2-40B4-BE49-F238E27FC236}">
                  <a16:creationId xmlns:a16="http://schemas.microsoft.com/office/drawing/2014/main" id="{00000000-0008-0000-0300-00005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117</xdr:row>
          <xdr:rowOff>9525</xdr:rowOff>
        </xdr:from>
        <xdr:to>
          <xdr:col>1</xdr:col>
          <xdr:colOff>0</xdr:colOff>
          <xdr:row>120</xdr:row>
          <xdr:rowOff>9525</xdr:rowOff>
        </xdr:to>
        <xdr:sp macro="" textlink="">
          <xdr:nvSpPr>
            <xdr:cNvPr id="19538" name="Group Box 82" hidden="1">
              <a:extLst>
                <a:ext uri="{63B3BB69-23CF-44E3-9099-C40C66FF867C}">
                  <a14:compatExt spid="_x0000_s19538"/>
                </a:ext>
                <a:ext uri="{FF2B5EF4-FFF2-40B4-BE49-F238E27FC236}">
                  <a16:creationId xmlns:a16="http://schemas.microsoft.com/office/drawing/2014/main" id="{00000000-0008-0000-0300-000052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117</xdr:row>
          <xdr:rowOff>9525</xdr:rowOff>
        </xdr:from>
        <xdr:to>
          <xdr:col>0</xdr:col>
          <xdr:colOff>466725</xdr:colOff>
          <xdr:row>118</xdr:row>
          <xdr:rowOff>9525</xdr:rowOff>
        </xdr:to>
        <xdr:sp macro="" textlink="">
          <xdr:nvSpPr>
            <xdr:cNvPr id="19544" name="Option Button 88" hidden="1">
              <a:extLst>
                <a:ext uri="{63B3BB69-23CF-44E3-9099-C40C66FF867C}">
                  <a14:compatExt spid="_x0000_s19544"/>
                </a:ext>
                <a:ext uri="{FF2B5EF4-FFF2-40B4-BE49-F238E27FC236}">
                  <a16:creationId xmlns:a16="http://schemas.microsoft.com/office/drawing/2014/main" id="{00000000-0008-0000-0300-00005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118</xdr:row>
          <xdr:rowOff>9525</xdr:rowOff>
        </xdr:from>
        <xdr:to>
          <xdr:col>0</xdr:col>
          <xdr:colOff>419100</xdr:colOff>
          <xdr:row>119</xdr:row>
          <xdr:rowOff>0</xdr:rowOff>
        </xdr:to>
        <xdr:sp macro="" textlink="">
          <xdr:nvSpPr>
            <xdr:cNvPr id="19545" name="Option Button 89" hidden="1">
              <a:extLst>
                <a:ext uri="{63B3BB69-23CF-44E3-9099-C40C66FF867C}">
                  <a14:compatExt spid="_x0000_s19545"/>
                </a:ext>
                <a:ext uri="{FF2B5EF4-FFF2-40B4-BE49-F238E27FC236}">
                  <a16:creationId xmlns:a16="http://schemas.microsoft.com/office/drawing/2014/main" id="{00000000-0008-0000-0300-00005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119</xdr:row>
          <xdr:rowOff>9525</xdr:rowOff>
        </xdr:from>
        <xdr:to>
          <xdr:col>0</xdr:col>
          <xdr:colOff>447675</xdr:colOff>
          <xdr:row>120</xdr:row>
          <xdr:rowOff>9525</xdr:rowOff>
        </xdr:to>
        <xdr:sp macro="" textlink="">
          <xdr:nvSpPr>
            <xdr:cNvPr id="19547" name="Option Button 91" hidden="1">
              <a:extLst>
                <a:ext uri="{63B3BB69-23CF-44E3-9099-C40C66FF867C}">
                  <a14:compatExt spid="_x0000_s19547"/>
                </a:ext>
                <a:ext uri="{FF2B5EF4-FFF2-40B4-BE49-F238E27FC236}">
                  <a16:creationId xmlns:a16="http://schemas.microsoft.com/office/drawing/2014/main" id="{00000000-0008-0000-0300-00005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124</xdr:row>
          <xdr:rowOff>200025</xdr:rowOff>
        </xdr:from>
        <xdr:to>
          <xdr:col>1</xdr:col>
          <xdr:colOff>0</xdr:colOff>
          <xdr:row>128</xdr:row>
          <xdr:rowOff>0</xdr:rowOff>
        </xdr:to>
        <xdr:sp macro="" textlink="">
          <xdr:nvSpPr>
            <xdr:cNvPr id="19552" name="Group Box 96" hidden="1">
              <a:extLst>
                <a:ext uri="{63B3BB69-23CF-44E3-9099-C40C66FF867C}">
                  <a14:compatExt spid="_x0000_s19552"/>
                </a:ext>
                <a:ext uri="{FF2B5EF4-FFF2-40B4-BE49-F238E27FC236}">
                  <a16:creationId xmlns:a16="http://schemas.microsoft.com/office/drawing/2014/main" id="{00000000-0008-0000-0300-000060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142875</xdr:colOff>
          <xdr:row>125</xdr:row>
          <xdr:rowOff>0</xdr:rowOff>
        </xdr:from>
        <xdr:to>
          <xdr:col>0</xdr:col>
          <xdr:colOff>533400</xdr:colOff>
          <xdr:row>126</xdr:row>
          <xdr:rowOff>0</xdr:rowOff>
        </xdr:to>
        <xdr:sp macro="" textlink="">
          <xdr:nvSpPr>
            <xdr:cNvPr id="19553" name="Option Button 97" hidden="1">
              <a:extLst>
                <a:ext uri="{63B3BB69-23CF-44E3-9099-C40C66FF867C}">
                  <a14:compatExt spid="_x0000_s19553"/>
                </a:ext>
                <a:ext uri="{FF2B5EF4-FFF2-40B4-BE49-F238E27FC236}">
                  <a16:creationId xmlns:a16="http://schemas.microsoft.com/office/drawing/2014/main" id="{00000000-0008-0000-0300-00006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142875</xdr:colOff>
          <xdr:row>126</xdr:row>
          <xdr:rowOff>28575</xdr:rowOff>
        </xdr:from>
        <xdr:to>
          <xdr:col>0</xdr:col>
          <xdr:colOff>504825</xdr:colOff>
          <xdr:row>127</xdr:row>
          <xdr:rowOff>9525</xdr:rowOff>
        </xdr:to>
        <xdr:sp macro="" textlink="">
          <xdr:nvSpPr>
            <xdr:cNvPr id="19554" name="Option Button 98" hidden="1">
              <a:extLst>
                <a:ext uri="{63B3BB69-23CF-44E3-9099-C40C66FF867C}">
                  <a14:compatExt spid="_x0000_s19554"/>
                </a:ext>
                <a:ext uri="{FF2B5EF4-FFF2-40B4-BE49-F238E27FC236}">
                  <a16:creationId xmlns:a16="http://schemas.microsoft.com/office/drawing/2014/main" id="{00000000-0008-0000-0300-00006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127</xdr:row>
          <xdr:rowOff>9525</xdr:rowOff>
        </xdr:from>
        <xdr:to>
          <xdr:col>1</xdr:col>
          <xdr:colOff>0</xdr:colOff>
          <xdr:row>128</xdr:row>
          <xdr:rowOff>0</xdr:rowOff>
        </xdr:to>
        <xdr:sp macro="" textlink="">
          <xdr:nvSpPr>
            <xdr:cNvPr id="19555" name="Option Button 99" hidden="1">
              <a:extLst>
                <a:ext uri="{63B3BB69-23CF-44E3-9099-C40C66FF867C}">
                  <a14:compatExt spid="_x0000_s19555"/>
                </a:ext>
                <a:ext uri="{FF2B5EF4-FFF2-40B4-BE49-F238E27FC236}">
                  <a16:creationId xmlns:a16="http://schemas.microsoft.com/office/drawing/2014/main" id="{00000000-0008-0000-0300-00006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6867525</xdr:colOff>
          <xdr:row>75</xdr:row>
          <xdr:rowOff>0</xdr:rowOff>
        </xdr:from>
        <xdr:to>
          <xdr:col>6</xdr:col>
          <xdr:colOff>0</xdr:colOff>
          <xdr:row>76</xdr:row>
          <xdr:rowOff>0</xdr:rowOff>
        </xdr:to>
        <xdr:sp macro="" textlink="">
          <xdr:nvSpPr>
            <xdr:cNvPr id="19556" name="Group Box 100" hidden="1">
              <a:extLst>
                <a:ext uri="{63B3BB69-23CF-44E3-9099-C40C66FF867C}">
                  <a14:compatExt spid="_x0000_s19556"/>
                </a:ext>
                <a:ext uri="{FF2B5EF4-FFF2-40B4-BE49-F238E27FC236}">
                  <a16:creationId xmlns:a16="http://schemas.microsoft.com/office/drawing/2014/main" id="{00000000-0008-0000-0300-000064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609600</xdr:colOff>
          <xdr:row>75</xdr:row>
          <xdr:rowOff>9525</xdr:rowOff>
        </xdr:from>
        <xdr:to>
          <xdr:col>2</xdr:col>
          <xdr:colOff>1038225</xdr:colOff>
          <xdr:row>75</xdr:row>
          <xdr:rowOff>200025</xdr:rowOff>
        </xdr:to>
        <xdr:sp macro="" textlink="">
          <xdr:nvSpPr>
            <xdr:cNvPr id="19557" name="Option Button 101" hidden="1">
              <a:extLst>
                <a:ext uri="{63B3BB69-23CF-44E3-9099-C40C66FF867C}">
                  <a14:compatExt spid="_x0000_s19557"/>
                </a:ext>
                <a:ext uri="{FF2B5EF4-FFF2-40B4-BE49-F238E27FC236}">
                  <a16:creationId xmlns:a16="http://schemas.microsoft.com/office/drawing/2014/main" id="{00000000-0008-0000-0300-00006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75</xdr:row>
          <xdr:rowOff>0</xdr:rowOff>
        </xdr:from>
        <xdr:to>
          <xdr:col>3</xdr:col>
          <xdr:colOff>1133475</xdr:colOff>
          <xdr:row>75</xdr:row>
          <xdr:rowOff>190500</xdr:rowOff>
        </xdr:to>
        <xdr:sp macro="" textlink="">
          <xdr:nvSpPr>
            <xdr:cNvPr id="19558" name="Option Button 102" hidden="1">
              <a:extLst>
                <a:ext uri="{63B3BB69-23CF-44E3-9099-C40C66FF867C}">
                  <a14:compatExt spid="_x0000_s19558"/>
                </a:ext>
                <a:ext uri="{FF2B5EF4-FFF2-40B4-BE49-F238E27FC236}">
                  <a16:creationId xmlns:a16="http://schemas.microsoft.com/office/drawing/2014/main" id="{00000000-0008-0000-0300-00006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75</xdr:row>
          <xdr:rowOff>0</xdr:rowOff>
        </xdr:from>
        <xdr:to>
          <xdr:col>4</xdr:col>
          <xdr:colOff>1143000</xdr:colOff>
          <xdr:row>75</xdr:row>
          <xdr:rowOff>219075</xdr:rowOff>
        </xdr:to>
        <xdr:sp macro="" textlink="">
          <xdr:nvSpPr>
            <xdr:cNvPr id="19559" name="Option Button 103" hidden="1">
              <a:extLst>
                <a:ext uri="{63B3BB69-23CF-44E3-9099-C40C66FF867C}">
                  <a14:compatExt spid="_x0000_s19559"/>
                </a:ext>
                <a:ext uri="{FF2B5EF4-FFF2-40B4-BE49-F238E27FC236}">
                  <a16:creationId xmlns:a16="http://schemas.microsoft.com/office/drawing/2014/main" id="{00000000-0008-0000-0300-00006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75</xdr:row>
          <xdr:rowOff>0</xdr:rowOff>
        </xdr:from>
        <xdr:to>
          <xdr:col>5</xdr:col>
          <xdr:colOff>1381125</xdr:colOff>
          <xdr:row>75</xdr:row>
          <xdr:rowOff>190500</xdr:rowOff>
        </xdr:to>
        <xdr:sp macro="" textlink="">
          <xdr:nvSpPr>
            <xdr:cNvPr id="19561" name="Option Button 105" hidden="1">
              <a:extLst>
                <a:ext uri="{63B3BB69-23CF-44E3-9099-C40C66FF867C}">
                  <a14:compatExt spid="_x0000_s19561"/>
                </a:ext>
                <a:ext uri="{FF2B5EF4-FFF2-40B4-BE49-F238E27FC236}">
                  <a16:creationId xmlns:a16="http://schemas.microsoft.com/office/drawing/2014/main" id="{00000000-0008-0000-0300-00006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83</xdr:row>
          <xdr:rowOff>0</xdr:rowOff>
        </xdr:from>
        <xdr:to>
          <xdr:col>6</xdr:col>
          <xdr:colOff>0</xdr:colOff>
          <xdr:row>84</xdr:row>
          <xdr:rowOff>0</xdr:rowOff>
        </xdr:to>
        <xdr:sp macro="" textlink="">
          <xdr:nvSpPr>
            <xdr:cNvPr id="19562" name="Group Box 106" hidden="1">
              <a:extLst>
                <a:ext uri="{63B3BB69-23CF-44E3-9099-C40C66FF867C}">
                  <a14:compatExt spid="_x0000_s19562"/>
                </a:ext>
                <a:ext uri="{FF2B5EF4-FFF2-40B4-BE49-F238E27FC236}">
                  <a16:creationId xmlns:a16="http://schemas.microsoft.com/office/drawing/2014/main" id="{00000000-0008-0000-0300-00006A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6867525</xdr:colOff>
          <xdr:row>76</xdr:row>
          <xdr:rowOff>9525</xdr:rowOff>
        </xdr:from>
        <xdr:to>
          <xdr:col>6</xdr:col>
          <xdr:colOff>2381</xdr:colOff>
          <xdr:row>77</xdr:row>
          <xdr:rowOff>0</xdr:rowOff>
        </xdr:to>
        <xdr:sp macro="" textlink="">
          <xdr:nvSpPr>
            <xdr:cNvPr id="19563" name="Group Box 107" hidden="1">
              <a:extLst>
                <a:ext uri="{63B3BB69-23CF-44E3-9099-C40C66FF867C}">
                  <a14:compatExt spid="_x0000_s19563"/>
                </a:ext>
                <a:ext uri="{FF2B5EF4-FFF2-40B4-BE49-F238E27FC236}">
                  <a16:creationId xmlns:a16="http://schemas.microsoft.com/office/drawing/2014/main" id="{00000000-0008-0000-0300-00006B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6886575</xdr:colOff>
          <xdr:row>77</xdr:row>
          <xdr:rowOff>9525</xdr:rowOff>
        </xdr:from>
        <xdr:to>
          <xdr:col>5</xdr:col>
          <xdr:colOff>1981200</xdr:colOff>
          <xdr:row>78</xdr:row>
          <xdr:rowOff>0</xdr:rowOff>
        </xdr:to>
        <xdr:sp macro="" textlink="">
          <xdr:nvSpPr>
            <xdr:cNvPr id="19564" name="Group Box 108" hidden="1">
              <a:extLst>
                <a:ext uri="{63B3BB69-23CF-44E3-9099-C40C66FF867C}">
                  <a14:compatExt spid="_x0000_s19564"/>
                </a:ext>
                <a:ext uri="{FF2B5EF4-FFF2-40B4-BE49-F238E27FC236}">
                  <a16:creationId xmlns:a16="http://schemas.microsoft.com/office/drawing/2014/main" id="{00000000-0008-0000-0300-00006C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6886575</xdr:colOff>
          <xdr:row>79</xdr:row>
          <xdr:rowOff>0</xdr:rowOff>
        </xdr:from>
        <xdr:to>
          <xdr:col>6</xdr:col>
          <xdr:colOff>9525</xdr:colOff>
          <xdr:row>80</xdr:row>
          <xdr:rowOff>0</xdr:rowOff>
        </xdr:to>
        <xdr:sp macro="" textlink="">
          <xdr:nvSpPr>
            <xdr:cNvPr id="19565" name="Group Box 109" hidden="1">
              <a:extLst>
                <a:ext uri="{63B3BB69-23CF-44E3-9099-C40C66FF867C}">
                  <a14:compatExt spid="_x0000_s19565"/>
                </a:ext>
                <a:ext uri="{FF2B5EF4-FFF2-40B4-BE49-F238E27FC236}">
                  <a16:creationId xmlns:a16="http://schemas.microsoft.com/office/drawing/2014/main" id="{00000000-0008-0000-0300-00006D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77</xdr:row>
          <xdr:rowOff>257175</xdr:rowOff>
        </xdr:from>
        <xdr:to>
          <xdr:col>6</xdr:col>
          <xdr:colOff>0</xdr:colOff>
          <xdr:row>79</xdr:row>
          <xdr:rowOff>0</xdr:rowOff>
        </xdr:to>
        <xdr:sp macro="" textlink="">
          <xdr:nvSpPr>
            <xdr:cNvPr id="19566" name="Group Box 110" hidden="1">
              <a:extLst>
                <a:ext uri="{63B3BB69-23CF-44E3-9099-C40C66FF867C}">
                  <a14:compatExt spid="_x0000_s19566"/>
                </a:ext>
                <a:ext uri="{FF2B5EF4-FFF2-40B4-BE49-F238E27FC236}">
                  <a16:creationId xmlns:a16="http://schemas.microsoft.com/office/drawing/2014/main" id="{00000000-0008-0000-0300-00006E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609600</xdr:colOff>
          <xdr:row>79</xdr:row>
          <xdr:rowOff>28575</xdr:rowOff>
        </xdr:from>
        <xdr:to>
          <xdr:col>2</xdr:col>
          <xdr:colOff>990600</xdr:colOff>
          <xdr:row>79</xdr:row>
          <xdr:rowOff>228600</xdr:rowOff>
        </xdr:to>
        <xdr:sp macro="" textlink="">
          <xdr:nvSpPr>
            <xdr:cNvPr id="19576" name="Option Button 120" hidden="1">
              <a:extLst>
                <a:ext uri="{63B3BB69-23CF-44E3-9099-C40C66FF867C}">
                  <a14:compatExt spid="_x0000_s19576"/>
                </a:ext>
                <a:ext uri="{FF2B5EF4-FFF2-40B4-BE49-F238E27FC236}">
                  <a16:creationId xmlns:a16="http://schemas.microsoft.com/office/drawing/2014/main" id="{00000000-0008-0000-0300-00007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79</xdr:row>
          <xdr:rowOff>28575</xdr:rowOff>
        </xdr:from>
        <xdr:to>
          <xdr:col>3</xdr:col>
          <xdr:colOff>923925</xdr:colOff>
          <xdr:row>79</xdr:row>
          <xdr:rowOff>228600</xdr:rowOff>
        </xdr:to>
        <xdr:sp macro="" textlink="">
          <xdr:nvSpPr>
            <xdr:cNvPr id="19577" name="Option Button 121" hidden="1">
              <a:extLst>
                <a:ext uri="{63B3BB69-23CF-44E3-9099-C40C66FF867C}">
                  <a14:compatExt spid="_x0000_s19577"/>
                </a:ext>
                <a:ext uri="{FF2B5EF4-FFF2-40B4-BE49-F238E27FC236}">
                  <a16:creationId xmlns:a16="http://schemas.microsoft.com/office/drawing/2014/main" id="{00000000-0008-0000-0300-00007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685800</xdr:colOff>
          <xdr:row>79</xdr:row>
          <xdr:rowOff>9525</xdr:rowOff>
        </xdr:from>
        <xdr:to>
          <xdr:col>4</xdr:col>
          <xdr:colOff>1066800</xdr:colOff>
          <xdr:row>79</xdr:row>
          <xdr:rowOff>228600</xdr:rowOff>
        </xdr:to>
        <xdr:sp macro="" textlink="">
          <xdr:nvSpPr>
            <xdr:cNvPr id="19578" name="Option Button 122" hidden="1">
              <a:extLst>
                <a:ext uri="{63B3BB69-23CF-44E3-9099-C40C66FF867C}">
                  <a14:compatExt spid="_x0000_s19578"/>
                </a:ext>
                <a:ext uri="{FF2B5EF4-FFF2-40B4-BE49-F238E27FC236}">
                  <a16:creationId xmlns:a16="http://schemas.microsoft.com/office/drawing/2014/main" id="{00000000-0008-0000-0300-00007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79</xdr:row>
          <xdr:rowOff>9525</xdr:rowOff>
        </xdr:from>
        <xdr:to>
          <xdr:col>5</xdr:col>
          <xdr:colOff>1247775</xdr:colOff>
          <xdr:row>79</xdr:row>
          <xdr:rowOff>228600</xdr:rowOff>
        </xdr:to>
        <xdr:sp macro="" textlink="">
          <xdr:nvSpPr>
            <xdr:cNvPr id="19579" name="Option Button 123" hidden="1">
              <a:extLst>
                <a:ext uri="{63B3BB69-23CF-44E3-9099-C40C66FF867C}">
                  <a14:compatExt spid="_x0000_s19579"/>
                </a:ext>
                <a:ext uri="{FF2B5EF4-FFF2-40B4-BE49-F238E27FC236}">
                  <a16:creationId xmlns:a16="http://schemas.microsoft.com/office/drawing/2014/main" id="{00000000-0008-0000-0300-00007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82</xdr:row>
          <xdr:rowOff>0</xdr:rowOff>
        </xdr:from>
        <xdr:to>
          <xdr:col>6</xdr:col>
          <xdr:colOff>0</xdr:colOff>
          <xdr:row>83</xdr:row>
          <xdr:rowOff>0</xdr:rowOff>
        </xdr:to>
        <xdr:sp macro="" textlink="">
          <xdr:nvSpPr>
            <xdr:cNvPr id="19588" name="Group Box 132" hidden="1">
              <a:extLst>
                <a:ext uri="{63B3BB69-23CF-44E3-9099-C40C66FF867C}">
                  <a14:compatExt spid="_x0000_s19588"/>
                </a:ext>
                <a:ext uri="{FF2B5EF4-FFF2-40B4-BE49-F238E27FC236}">
                  <a16:creationId xmlns:a16="http://schemas.microsoft.com/office/drawing/2014/main" id="{00000000-0008-0000-0300-000084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84</xdr:row>
          <xdr:rowOff>0</xdr:rowOff>
        </xdr:from>
        <xdr:to>
          <xdr:col>6</xdr:col>
          <xdr:colOff>9525</xdr:colOff>
          <xdr:row>85</xdr:row>
          <xdr:rowOff>0</xdr:rowOff>
        </xdr:to>
        <xdr:sp macro="" textlink="">
          <xdr:nvSpPr>
            <xdr:cNvPr id="19589" name="Group Box 133" hidden="1">
              <a:extLst>
                <a:ext uri="{63B3BB69-23CF-44E3-9099-C40C66FF867C}">
                  <a14:compatExt spid="_x0000_s19589"/>
                </a:ext>
                <a:ext uri="{FF2B5EF4-FFF2-40B4-BE49-F238E27FC236}">
                  <a16:creationId xmlns:a16="http://schemas.microsoft.com/office/drawing/2014/main" id="{00000000-0008-0000-0300-000085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87</xdr:row>
          <xdr:rowOff>0</xdr:rowOff>
        </xdr:from>
        <xdr:to>
          <xdr:col>5</xdr:col>
          <xdr:colOff>1981200</xdr:colOff>
          <xdr:row>88</xdr:row>
          <xdr:rowOff>0</xdr:rowOff>
        </xdr:to>
        <xdr:sp macro="" textlink="">
          <xdr:nvSpPr>
            <xdr:cNvPr id="19590" name="Group Box 134" hidden="1">
              <a:extLst>
                <a:ext uri="{63B3BB69-23CF-44E3-9099-C40C66FF867C}">
                  <a14:compatExt spid="_x0000_s19590"/>
                </a:ext>
                <a:ext uri="{FF2B5EF4-FFF2-40B4-BE49-F238E27FC236}">
                  <a16:creationId xmlns:a16="http://schemas.microsoft.com/office/drawing/2014/main" id="{00000000-0008-0000-0300-000086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84</xdr:row>
          <xdr:rowOff>257175</xdr:rowOff>
        </xdr:from>
        <xdr:to>
          <xdr:col>6</xdr:col>
          <xdr:colOff>9525</xdr:colOff>
          <xdr:row>86</xdr:row>
          <xdr:rowOff>0</xdr:rowOff>
        </xdr:to>
        <xdr:sp macro="" textlink="">
          <xdr:nvSpPr>
            <xdr:cNvPr id="19591" name="Group Box 135" hidden="1">
              <a:extLst>
                <a:ext uri="{63B3BB69-23CF-44E3-9099-C40C66FF867C}">
                  <a14:compatExt spid="_x0000_s19591"/>
                </a:ext>
                <a:ext uri="{FF2B5EF4-FFF2-40B4-BE49-F238E27FC236}">
                  <a16:creationId xmlns:a16="http://schemas.microsoft.com/office/drawing/2014/main" id="{00000000-0008-0000-0300-000087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86</xdr:row>
          <xdr:rowOff>0</xdr:rowOff>
        </xdr:from>
        <xdr:to>
          <xdr:col>6</xdr:col>
          <xdr:colOff>0</xdr:colOff>
          <xdr:row>87</xdr:row>
          <xdr:rowOff>0</xdr:rowOff>
        </xdr:to>
        <xdr:sp macro="" textlink="">
          <xdr:nvSpPr>
            <xdr:cNvPr id="19592" name="Group Box 136" hidden="1">
              <a:extLst>
                <a:ext uri="{63B3BB69-23CF-44E3-9099-C40C66FF867C}">
                  <a14:compatExt spid="_x0000_s19592"/>
                </a:ext>
                <a:ext uri="{FF2B5EF4-FFF2-40B4-BE49-F238E27FC236}">
                  <a16:creationId xmlns:a16="http://schemas.microsoft.com/office/drawing/2014/main" id="{00000000-0008-0000-0300-000088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6886575</xdr:colOff>
          <xdr:row>92</xdr:row>
          <xdr:rowOff>0</xdr:rowOff>
        </xdr:from>
        <xdr:to>
          <xdr:col>6</xdr:col>
          <xdr:colOff>0</xdr:colOff>
          <xdr:row>93</xdr:row>
          <xdr:rowOff>0</xdr:rowOff>
        </xdr:to>
        <xdr:sp macro="" textlink="">
          <xdr:nvSpPr>
            <xdr:cNvPr id="19593" name="Group Box 137" hidden="1">
              <a:extLst>
                <a:ext uri="{63B3BB69-23CF-44E3-9099-C40C66FF867C}">
                  <a14:compatExt spid="_x0000_s19593"/>
                </a:ext>
                <a:ext uri="{FF2B5EF4-FFF2-40B4-BE49-F238E27FC236}">
                  <a16:creationId xmlns:a16="http://schemas.microsoft.com/office/drawing/2014/main" id="{00000000-0008-0000-0300-000089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6867525</xdr:colOff>
          <xdr:row>88</xdr:row>
          <xdr:rowOff>0</xdr:rowOff>
        </xdr:from>
        <xdr:to>
          <xdr:col>5</xdr:col>
          <xdr:colOff>1981200</xdr:colOff>
          <xdr:row>89</xdr:row>
          <xdr:rowOff>0</xdr:rowOff>
        </xdr:to>
        <xdr:sp macro="" textlink="">
          <xdr:nvSpPr>
            <xdr:cNvPr id="19594" name="Group Box 138" hidden="1">
              <a:extLst>
                <a:ext uri="{63B3BB69-23CF-44E3-9099-C40C66FF867C}">
                  <a14:compatExt spid="_x0000_s19594"/>
                </a:ext>
                <a:ext uri="{FF2B5EF4-FFF2-40B4-BE49-F238E27FC236}">
                  <a16:creationId xmlns:a16="http://schemas.microsoft.com/office/drawing/2014/main" id="{00000000-0008-0000-0300-00008A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609600</xdr:colOff>
          <xdr:row>82</xdr:row>
          <xdr:rowOff>28575</xdr:rowOff>
        </xdr:from>
        <xdr:to>
          <xdr:col>2</xdr:col>
          <xdr:colOff>990600</xdr:colOff>
          <xdr:row>82</xdr:row>
          <xdr:rowOff>228600</xdr:rowOff>
        </xdr:to>
        <xdr:sp macro="" textlink="">
          <xdr:nvSpPr>
            <xdr:cNvPr id="19603" name="Option Button 147" hidden="1">
              <a:extLst>
                <a:ext uri="{63B3BB69-23CF-44E3-9099-C40C66FF867C}">
                  <a14:compatExt spid="_x0000_s19603"/>
                </a:ext>
                <a:ext uri="{FF2B5EF4-FFF2-40B4-BE49-F238E27FC236}">
                  <a16:creationId xmlns:a16="http://schemas.microsoft.com/office/drawing/2014/main" id="{00000000-0008-0000-0300-00009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82</xdr:row>
          <xdr:rowOff>38100</xdr:rowOff>
        </xdr:from>
        <xdr:to>
          <xdr:col>3</xdr:col>
          <xdr:colOff>923925</xdr:colOff>
          <xdr:row>82</xdr:row>
          <xdr:rowOff>228600</xdr:rowOff>
        </xdr:to>
        <xdr:sp macro="" textlink="">
          <xdr:nvSpPr>
            <xdr:cNvPr id="19604" name="Option Button 148" hidden="1">
              <a:extLst>
                <a:ext uri="{63B3BB69-23CF-44E3-9099-C40C66FF867C}">
                  <a14:compatExt spid="_x0000_s19604"/>
                </a:ext>
                <a:ext uri="{FF2B5EF4-FFF2-40B4-BE49-F238E27FC236}">
                  <a16:creationId xmlns:a16="http://schemas.microsoft.com/office/drawing/2014/main" id="{00000000-0008-0000-0300-00009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685800</xdr:colOff>
          <xdr:row>82</xdr:row>
          <xdr:rowOff>28575</xdr:rowOff>
        </xdr:from>
        <xdr:to>
          <xdr:col>4</xdr:col>
          <xdr:colOff>1066800</xdr:colOff>
          <xdr:row>82</xdr:row>
          <xdr:rowOff>228600</xdr:rowOff>
        </xdr:to>
        <xdr:sp macro="" textlink="">
          <xdr:nvSpPr>
            <xdr:cNvPr id="19605" name="Option Button 149" hidden="1">
              <a:extLst>
                <a:ext uri="{63B3BB69-23CF-44E3-9099-C40C66FF867C}">
                  <a14:compatExt spid="_x0000_s19605"/>
                </a:ext>
                <a:ext uri="{FF2B5EF4-FFF2-40B4-BE49-F238E27FC236}">
                  <a16:creationId xmlns:a16="http://schemas.microsoft.com/office/drawing/2014/main" id="{00000000-0008-0000-0300-00009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82</xdr:row>
          <xdr:rowOff>9525</xdr:rowOff>
        </xdr:from>
        <xdr:to>
          <xdr:col>5</xdr:col>
          <xdr:colOff>1247775</xdr:colOff>
          <xdr:row>82</xdr:row>
          <xdr:rowOff>228600</xdr:rowOff>
        </xdr:to>
        <xdr:sp macro="" textlink="">
          <xdr:nvSpPr>
            <xdr:cNvPr id="19606" name="Option Button 150" hidden="1">
              <a:extLst>
                <a:ext uri="{63B3BB69-23CF-44E3-9099-C40C66FF867C}">
                  <a14:compatExt spid="_x0000_s19606"/>
                </a:ext>
                <a:ext uri="{FF2B5EF4-FFF2-40B4-BE49-F238E27FC236}">
                  <a16:creationId xmlns:a16="http://schemas.microsoft.com/office/drawing/2014/main" id="{00000000-0008-0000-0300-00009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609600</xdr:colOff>
          <xdr:row>85</xdr:row>
          <xdr:rowOff>38100</xdr:rowOff>
        </xdr:from>
        <xdr:to>
          <xdr:col>2</xdr:col>
          <xdr:colOff>990600</xdr:colOff>
          <xdr:row>85</xdr:row>
          <xdr:rowOff>238125</xdr:rowOff>
        </xdr:to>
        <xdr:sp macro="" textlink="">
          <xdr:nvSpPr>
            <xdr:cNvPr id="19607" name="Option Button 151" hidden="1">
              <a:extLst>
                <a:ext uri="{63B3BB69-23CF-44E3-9099-C40C66FF867C}">
                  <a14:compatExt spid="_x0000_s19607"/>
                </a:ext>
                <a:ext uri="{FF2B5EF4-FFF2-40B4-BE49-F238E27FC236}">
                  <a16:creationId xmlns:a16="http://schemas.microsoft.com/office/drawing/2014/main" id="{00000000-0008-0000-0300-00009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85</xdr:row>
          <xdr:rowOff>38100</xdr:rowOff>
        </xdr:from>
        <xdr:to>
          <xdr:col>3</xdr:col>
          <xdr:colOff>942975</xdr:colOff>
          <xdr:row>85</xdr:row>
          <xdr:rowOff>228600</xdr:rowOff>
        </xdr:to>
        <xdr:sp macro="" textlink="">
          <xdr:nvSpPr>
            <xdr:cNvPr id="19608" name="Option Button 152" hidden="1">
              <a:extLst>
                <a:ext uri="{63B3BB69-23CF-44E3-9099-C40C66FF867C}">
                  <a14:compatExt spid="_x0000_s19608"/>
                </a:ext>
                <a:ext uri="{FF2B5EF4-FFF2-40B4-BE49-F238E27FC236}">
                  <a16:creationId xmlns:a16="http://schemas.microsoft.com/office/drawing/2014/main" id="{00000000-0008-0000-0300-00009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85</xdr:row>
          <xdr:rowOff>38100</xdr:rowOff>
        </xdr:from>
        <xdr:to>
          <xdr:col>4</xdr:col>
          <xdr:colOff>1076325</xdr:colOff>
          <xdr:row>85</xdr:row>
          <xdr:rowOff>238125</xdr:rowOff>
        </xdr:to>
        <xdr:sp macro="" textlink="">
          <xdr:nvSpPr>
            <xdr:cNvPr id="19609" name="Option Button 153" hidden="1">
              <a:extLst>
                <a:ext uri="{63B3BB69-23CF-44E3-9099-C40C66FF867C}">
                  <a14:compatExt spid="_x0000_s19609"/>
                </a:ext>
                <a:ext uri="{FF2B5EF4-FFF2-40B4-BE49-F238E27FC236}">
                  <a16:creationId xmlns:a16="http://schemas.microsoft.com/office/drawing/2014/main" id="{00000000-0008-0000-0300-00009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85</xdr:row>
          <xdr:rowOff>47625</xdr:rowOff>
        </xdr:from>
        <xdr:to>
          <xdr:col>5</xdr:col>
          <xdr:colOff>1247775</xdr:colOff>
          <xdr:row>85</xdr:row>
          <xdr:rowOff>228600</xdr:rowOff>
        </xdr:to>
        <xdr:sp macro="" textlink="">
          <xdr:nvSpPr>
            <xdr:cNvPr id="19610" name="Option Button 154" hidden="1">
              <a:extLst>
                <a:ext uri="{63B3BB69-23CF-44E3-9099-C40C66FF867C}">
                  <a14:compatExt spid="_x0000_s19610"/>
                </a:ext>
                <a:ext uri="{FF2B5EF4-FFF2-40B4-BE49-F238E27FC236}">
                  <a16:creationId xmlns:a16="http://schemas.microsoft.com/office/drawing/2014/main" id="{00000000-0008-0000-0300-00009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88</xdr:row>
          <xdr:rowOff>28575</xdr:rowOff>
        </xdr:from>
        <xdr:to>
          <xdr:col>2</xdr:col>
          <xdr:colOff>981075</xdr:colOff>
          <xdr:row>88</xdr:row>
          <xdr:rowOff>228600</xdr:rowOff>
        </xdr:to>
        <xdr:sp macro="" textlink="">
          <xdr:nvSpPr>
            <xdr:cNvPr id="19619" name="Option Button 163" hidden="1">
              <a:extLst>
                <a:ext uri="{63B3BB69-23CF-44E3-9099-C40C66FF867C}">
                  <a14:compatExt spid="_x0000_s19619"/>
                </a:ext>
                <a:ext uri="{FF2B5EF4-FFF2-40B4-BE49-F238E27FC236}">
                  <a16:creationId xmlns:a16="http://schemas.microsoft.com/office/drawing/2014/main" id="{00000000-0008-0000-0300-0000A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88</xdr:row>
          <xdr:rowOff>28575</xdr:rowOff>
        </xdr:from>
        <xdr:to>
          <xdr:col>3</xdr:col>
          <xdr:colOff>923925</xdr:colOff>
          <xdr:row>88</xdr:row>
          <xdr:rowOff>228600</xdr:rowOff>
        </xdr:to>
        <xdr:sp macro="" textlink="">
          <xdr:nvSpPr>
            <xdr:cNvPr id="19620" name="Option Button 164" hidden="1">
              <a:extLst>
                <a:ext uri="{63B3BB69-23CF-44E3-9099-C40C66FF867C}">
                  <a14:compatExt spid="_x0000_s19620"/>
                </a:ext>
                <a:ext uri="{FF2B5EF4-FFF2-40B4-BE49-F238E27FC236}">
                  <a16:creationId xmlns:a16="http://schemas.microsoft.com/office/drawing/2014/main" id="{00000000-0008-0000-0300-0000A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685800</xdr:colOff>
          <xdr:row>88</xdr:row>
          <xdr:rowOff>9525</xdr:rowOff>
        </xdr:from>
        <xdr:to>
          <xdr:col>4</xdr:col>
          <xdr:colOff>1057275</xdr:colOff>
          <xdr:row>88</xdr:row>
          <xdr:rowOff>238125</xdr:rowOff>
        </xdr:to>
        <xdr:sp macro="" textlink="">
          <xdr:nvSpPr>
            <xdr:cNvPr id="19621" name="Option Button 165" hidden="1">
              <a:extLst>
                <a:ext uri="{63B3BB69-23CF-44E3-9099-C40C66FF867C}">
                  <a14:compatExt spid="_x0000_s19621"/>
                </a:ext>
                <a:ext uri="{FF2B5EF4-FFF2-40B4-BE49-F238E27FC236}">
                  <a16:creationId xmlns:a16="http://schemas.microsoft.com/office/drawing/2014/main" id="{00000000-0008-0000-0300-0000A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847725</xdr:colOff>
          <xdr:row>88</xdr:row>
          <xdr:rowOff>9525</xdr:rowOff>
        </xdr:from>
        <xdr:to>
          <xdr:col>5</xdr:col>
          <xdr:colOff>1228725</xdr:colOff>
          <xdr:row>88</xdr:row>
          <xdr:rowOff>228600</xdr:rowOff>
        </xdr:to>
        <xdr:sp macro="" textlink="">
          <xdr:nvSpPr>
            <xdr:cNvPr id="19622" name="Option Button 166" hidden="1">
              <a:extLst>
                <a:ext uri="{63B3BB69-23CF-44E3-9099-C40C66FF867C}">
                  <a14:compatExt spid="_x0000_s19622"/>
                </a:ext>
                <a:ext uri="{FF2B5EF4-FFF2-40B4-BE49-F238E27FC236}">
                  <a16:creationId xmlns:a16="http://schemas.microsoft.com/office/drawing/2014/main" id="{00000000-0008-0000-0300-0000A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79</xdr:row>
          <xdr:rowOff>257175</xdr:rowOff>
        </xdr:from>
        <xdr:to>
          <xdr:col>6</xdr:col>
          <xdr:colOff>0</xdr:colOff>
          <xdr:row>81</xdr:row>
          <xdr:rowOff>0</xdr:rowOff>
        </xdr:to>
        <xdr:sp macro="" textlink="">
          <xdr:nvSpPr>
            <xdr:cNvPr id="19623" name="Group Box 167" hidden="1">
              <a:extLst>
                <a:ext uri="{63B3BB69-23CF-44E3-9099-C40C66FF867C}">
                  <a14:compatExt spid="_x0000_s19623"/>
                </a:ext>
                <a:ext uri="{FF2B5EF4-FFF2-40B4-BE49-F238E27FC236}">
                  <a16:creationId xmlns:a16="http://schemas.microsoft.com/office/drawing/2014/main" id="{00000000-0008-0000-0300-0000A7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6867525</xdr:colOff>
          <xdr:row>90</xdr:row>
          <xdr:rowOff>9525</xdr:rowOff>
        </xdr:from>
        <xdr:to>
          <xdr:col>6</xdr:col>
          <xdr:colOff>9525</xdr:colOff>
          <xdr:row>91</xdr:row>
          <xdr:rowOff>0</xdr:rowOff>
        </xdr:to>
        <xdr:sp macro="" textlink="">
          <xdr:nvSpPr>
            <xdr:cNvPr id="19624" name="Group Box 168" hidden="1">
              <a:extLst>
                <a:ext uri="{63B3BB69-23CF-44E3-9099-C40C66FF867C}">
                  <a14:compatExt spid="_x0000_s19624"/>
                </a:ext>
                <a:ext uri="{FF2B5EF4-FFF2-40B4-BE49-F238E27FC236}">
                  <a16:creationId xmlns:a16="http://schemas.microsoft.com/office/drawing/2014/main" id="{00000000-0008-0000-0300-0000A8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6867525</xdr:colOff>
          <xdr:row>91</xdr:row>
          <xdr:rowOff>0</xdr:rowOff>
        </xdr:from>
        <xdr:to>
          <xdr:col>6</xdr:col>
          <xdr:colOff>0</xdr:colOff>
          <xdr:row>92</xdr:row>
          <xdr:rowOff>0</xdr:rowOff>
        </xdr:to>
        <xdr:sp macro="" textlink="">
          <xdr:nvSpPr>
            <xdr:cNvPr id="19625" name="Group Box 169" hidden="1">
              <a:extLst>
                <a:ext uri="{63B3BB69-23CF-44E3-9099-C40C66FF867C}">
                  <a14:compatExt spid="_x0000_s19625"/>
                </a:ext>
                <a:ext uri="{FF2B5EF4-FFF2-40B4-BE49-F238E27FC236}">
                  <a16:creationId xmlns:a16="http://schemas.microsoft.com/office/drawing/2014/main" id="{00000000-0008-0000-0300-0000A9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609600</xdr:colOff>
          <xdr:row>90</xdr:row>
          <xdr:rowOff>28575</xdr:rowOff>
        </xdr:from>
        <xdr:to>
          <xdr:col>2</xdr:col>
          <xdr:colOff>990600</xdr:colOff>
          <xdr:row>90</xdr:row>
          <xdr:rowOff>238125</xdr:rowOff>
        </xdr:to>
        <xdr:sp macro="" textlink="">
          <xdr:nvSpPr>
            <xdr:cNvPr id="19630" name="Option Button 174" hidden="1">
              <a:extLst>
                <a:ext uri="{63B3BB69-23CF-44E3-9099-C40C66FF867C}">
                  <a14:compatExt spid="_x0000_s19630"/>
                </a:ext>
                <a:ext uri="{FF2B5EF4-FFF2-40B4-BE49-F238E27FC236}">
                  <a16:creationId xmlns:a16="http://schemas.microsoft.com/office/drawing/2014/main" id="{00000000-0008-0000-0300-0000A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90</xdr:row>
          <xdr:rowOff>28575</xdr:rowOff>
        </xdr:from>
        <xdr:to>
          <xdr:col>3</xdr:col>
          <xdr:colOff>923925</xdr:colOff>
          <xdr:row>90</xdr:row>
          <xdr:rowOff>238125</xdr:rowOff>
        </xdr:to>
        <xdr:sp macro="" textlink="">
          <xdr:nvSpPr>
            <xdr:cNvPr id="19631" name="Option Button 175" hidden="1">
              <a:extLst>
                <a:ext uri="{63B3BB69-23CF-44E3-9099-C40C66FF867C}">
                  <a14:compatExt spid="_x0000_s19631"/>
                </a:ext>
                <a:ext uri="{FF2B5EF4-FFF2-40B4-BE49-F238E27FC236}">
                  <a16:creationId xmlns:a16="http://schemas.microsoft.com/office/drawing/2014/main" id="{00000000-0008-0000-0300-0000A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685800</xdr:colOff>
          <xdr:row>90</xdr:row>
          <xdr:rowOff>28575</xdr:rowOff>
        </xdr:from>
        <xdr:to>
          <xdr:col>4</xdr:col>
          <xdr:colOff>1066800</xdr:colOff>
          <xdr:row>90</xdr:row>
          <xdr:rowOff>238125</xdr:rowOff>
        </xdr:to>
        <xdr:sp macro="" textlink="">
          <xdr:nvSpPr>
            <xdr:cNvPr id="19632" name="Option Button 176" hidden="1">
              <a:extLst>
                <a:ext uri="{63B3BB69-23CF-44E3-9099-C40C66FF867C}">
                  <a14:compatExt spid="_x0000_s19632"/>
                </a:ext>
                <a:ext uri="{FF2B5EF4-FFF2-40B4-BE49-F238E27FC236}">
                  <a16:creationId xmlns:a16="http://schemas.microsoft.com/office/drawing/2014/main" id="{00000000-0008-0000-0300-0000B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847725</xdr:colOff>
          <xdr:row>90</xdr:row>
          <xdr:rowOff>28575</xdr:rowOff>
        </xdr:from>
        <xdr:to>
          <xdr:col>5</xdr:col>
          <xdr:colOff>1228725</xdr:colOff>
          <xdr:row>90</xdr:row>
          <xdr:rowOff>238125</xdr:rowOff>
        </xdr:to>
        <xdr:sp macro="" textlink="">
          <xdr:nvSpPr>
            <xdr:cNvPr id="19633" name="Option Button 177" hidden="1">
              <a:extLst>
                <a:ext uri="{63B3BB69-23CF-44E3-9099-C40C66FF867C}">
                  <a14:compatExt spid="_x0000_s19633"/>
                </a:ext>
                <a:ext uri="{FF2B5EF4-FFF2-40B4-BE49-F238E27FC236}">
                  <a16:creationId xmlns:a16="http://schemas.microsoft.com/office/drawing/2014/main" id="{00000000-0008-0000-0300-0000B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89</xdr:row>
          <xdr:rowOff>0</xdr:rowOff>
        </xdr:from>
        <xdr:to>
          <xdr:col>6</xdr:col>
          <xdr:colOff>2381</xdr:colOff>
          <xdr:row>90</xdr:row>
          <xdr:rowOff>0</xdr:rowOff>
        </xdr:to>
        <xdr:sp macro="" textlink="">
          <xdr:nvSpPr>
            <xdr:cNvPr id="19639" name="Group Box 183" hidden="1">
              <a:extLst>
                <a:ext uri="{63B3BB69-23CF-44E3-9099-C40C66FF867C}">
                  <a14:compatExt spid="_x0000_s19639"/>
                </a:ext>
                <a:ext uri="{FF2B5EF4-FFF2-40B4-BE49-F238E27FC236}">
                  <a16:creationId xmlns:a16="http://schemas.microsoft.com/office/drawing/2014/main" id="{00000000-0008-0000-0300-0000B7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6886575</xdr:colOff>
          <xdr:row>93</xdr:row>
          <xdr:rowOff>0</xdr:rowOff>
        </xdr:from>
        <xdr:to>
          <xdr:col>6</xdr:col>
          <xdr:colOff>0</xdr:colOff>
          <xdr:row>94</xdr:row>
          <xdr:rowOff>0</xdr:rowOff>
        </xdr:to>
        <xdr:sp macro="" textlink="">
          <xdr:nvSpPr>
            <xdr:cNvPr id="19640" name="Group Box 184" hidden="1">
              <a:extLst>
                <a:ext uri="{63B3BB69-23CF-44E3-9099-C40C66FF867C}">
                  <a14:compatExt spid="_x0000_s19640"/>
                </a:ext>
                <a:ext uri="{FF2B5EF4-FFF2-40B4-BE49-F238E27FC236}">
                  <a16:creationId xmlns:a16="http://schemas.microsoft.com/office/drawing/2014/main" id="{00000000-0008-0000-0300-0000B8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76</xdr:row>
          <xdr:rowOff>9525</xdr:rowOff>
        </xdr:from>
        <xdr:to>
          <xdr:col>5</xdr:col>
          <xdr:colOff>1981200</xdr:colOff>
          <xdr:row>77</xdr:row>
          <xdr:rowOff>9525</xdr:rowOff>
        </xdr:to>
        <xdr:sp macro="" textlink="">
          <xdr:nvSpPr>
            <xdr:cNvPr id="19641" name="Group Box 185" hidden="1">
              <a:extLst>
                <a:ext uri="{63B3BB69-23CF-44E3-9099-C40C66FF867C}">
                  <a14:compatExt spid="_x0000_s19641"/>
                </a:ext>
                <a:ext uri="{FF2B5EF4-FFF2-40B4-BE49-F238E27FC236}">
                  <a16:creationId xmlns:a16="http://schemas.microsoft.com/office/drawing/2014/main" id="{00000000-0008-0000-0300-0000B9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76</xdr:row>
          <xdr:rowOff>47625</xdr:rowOff>
        </xdr:from>
        <xdr:to>
          <xdr:col>2</xdr:col>
          <xdr:colOff>1247775</xdr:colOff>
          <xdr:row>76</xdr:row>
          <xdr:rowOff>219075</xdr:rowOff>
        </xdr:to>
        <xdr:sp macro="" textlink="">
          <xdr:nvSpPr>
            <xdr:cNvPr id="19658" name="Option Button 202" hidden="1">
              <a:extLst>
                <a:ext uri="{63B3BB69-23CF-44E3-9099-C40C66FF867C}">
                  <a14:compatExt spid="_x0000_s19658"/>
                </a:ext>
                <a:ext uri="{FF2B5EF4-FFF2-40B4-BE49-F238E27FC236}">
                  <a16:creationId xmlns:a16="http://schemas.microsoft.com/office/drawing/2014/main" id="{00000000-0008-0000-0300-0000C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76</xdr:row>
          <xdr:rowOff>38100</xdr:rowOff>
        </xdr:from>
        <xdr:to>
          <xdr:col>3</xdr:col>
          <xdr:colOff>1257300</xdr:colOff>
          <xdr:row>76</xdr:row>
          <xdr:rowOff>219075</xdr:rowOff>
        </xdr:to>
        <xdr:sp macro="" textlink="">
          <xdr:nvSpPr>
            <xdr:cNvPr id="19659" name="Option Button 203" hidden="1">
              <a:extLst>
                <a:ext uri="{63B3BB69-23CF-44E3-9099-C40C66FF867C}">
                  <a14:compatExt spid="_x0000_s19659"/>
                </a:ext>
                <a:ext uri="{FF2B5EF4-FFF2-40B4-BE49-F238E27FC236}">
                  <a16:creationId xmlns:a16="http://schemas.microsoft.com/office/drawing/2014/main" id="{00000000-0008-0000-0300-0000C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76</xdr:row>
          <xdr:rowOff>38100</xdr:rowOff>
        </xdr:from>
        <xdr:to>
          <xdr:col>4</xdr:col>
          <xdr:colOff>1343025</xdr:colOff>
          <xdr:row>76</xdr:row>
          <xdr:rowOff>228600</xdr:rowOff>
        </xdr:to>
        <xdr:sp macro="" textlink="">
          <xdr:nvSpPr>
            <xdr:cNvPr id="19660" name="Option Button 204" hidden="1">
              <a:extLst>
                <a:ext uri="{63B3BB69-23CF-44E3-9099-C40C66FF867C}">
                  <a14:compatExt spid="_x0000_s19660"/>
                </a:ext>
                <a:ext uri="{FF2B5EF4-FFF2-40B4-BE49-F238E27FC236}">
                  <a16:creationId xmlns:a16="http://schemas.microsoft.com/office/drawing/2014/main" id="{00000000-0008-0000-0300-0000C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76</xdr:row>
          <xdr:rowOff>38100</xdr:rowOff>
        </xdr:from>
        <xdr:to>
          <xdr:col>5</xdr:col>
          <xdr:colOff>1266825</xdr:colOff>
          <xdr:row>76</xdr:row>
          <xdr:rowOff>219075</xdr:rowOff>
        </xdr:to>
        <xdr:sp macro="" textlink="">
          <xdr:nvSpPr>
            <xdr:cNvPr id="19661" name="Option Button 205" hidden="1">
              <a:extLst>
                <a:ext uri="{63B3BB69-23CF-44E3-9099-C40C66FF867C}">
                  <a14:compatExt spid="_x0000_s19661"/>
                </a:ext>
                <a:ext uri="{FF2B5EF4-FFF2-40B4-BE49-F238E27FC236}">
                  <a16:creationId xmlns:a16="http://schemas.microsoft.com/office/drawing/2014/main" id="{00000000-0008-0000-0300-0000C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77</xdr:row>
          <xdr:rowOff>38100</xdr:rowOff>
        </xdr:from>
        <xdr:to>
          <xdr:col>2</xdr:col>
          <xdr:colOff>1076325</xdr:colOff>
          <xdr:row>77</xdr:row>
          <xdr:rowOff>228600</xdr:rowOff>
        </xdr:to>
        <xdr:sp macro="" textlink="">
          <xdr:nvSpPr>
            <xdr:cNvPr id="19663" name="Option Button 207" hidden="1">
              <a:extLst>
                <a:ext uri="{63B3BB69-23CF-44E3-9099-C40C66FF867C}">
                  <a14:compatExt spid="_x0000_s19663"/>
                </a:ext>
                <a:ext uri="{FF2B5EF4-FFF2-40B4-BE49-F238E27FC236}">
                  <a16:creationId xmlns:a16="http://schemas.microsoft.com/office/drawing/2014/main" id="{00000000-0008-0000-0300-0000C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77</xdr:row>
          <xdr:rowOff>38100</xdr:rowOff>
        </xdr:from>
        <xdr:to>
          <xdr:col>3</xdr:col>
          <xdr:colOff>1019175</xdr:colOff>
          <xdr:row>77</xdr:row>
          <xdr:rowOff>219075</xdr:rowOff>
        </xdr:to>
        <xdr:sp macro="" textlink="">
          <xdr:nvSpPr>
            <xdr:cNvPr id="19664" name="Option Button 208" hidden="1">
              <a:extLst>
                <a:ext uri="{63B3BB69-23CF-44E3-9099-C40C66FF867C}">
                  <a14:compatExt spid="_x0000_s19664"/>
                </a:ext>
                <a:ext uri="{FF2B5EF4-FFF2-40B4-BE49-F238E27FC236}">
                  <a16:creationId xmlns:a16="http://schemas.microsoft.com/office/drawing/2014/main" id="{00000000-0008-0000-0300-0000D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685800</xdr:colOff>
          <xdr:row>77</xdr:row>
          <xdr:rowOff>38100</xdr:rowOff>
        </xdr:from>
        <xdr:to>
          <xdr:col>4</xdr:col>
          <xdr:colOff>1304925</xdr:colOff>
          <xdr:row>77</xdr:row>
          <xdr:rowOff>219075</xdr:rowOff>
        </xdr:to>
        <xdr:sp macro="" textlink="">
          <xdr:nvSpPr>
            <xdr:cNvPr id="19666" name="Option Button 210" hidden="1">
              <a:extLst>
                <a:ext uri="{63B3BB69-23CF-44E3-9099-C40C66FF867C}">
                  <a14:compatExt spid="_x0000_s19666"/>
                </a:ext>
                <a:ext uri="{FF2B5EF4-FFF2-40B4-BE49-F238E27FC236}">
                  <a16:creationId xmlns:a16="http://schemas.microsoft.com/office/drawing/2014/main" id="{00000000-0008-0000-0300-0000D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847725</xdr:colOff>
          <xdr:row>77</xdr:row>
          <xdr:rowOff>47625</xdr:rowOff>
        </xdr:from>
        <xdr:to>
          <xdr:col>5</xdr:col>
          <xdr:colOff>1400175</xdr:colOff>
          <xdr:row>77</xdr:row>
          <xdr:rowOff>228600</xdr:rowOff>
        </xdr:to>
        <xdr:sp macro="" textlink="">
          <xdr:nvSpPr>
            <xdr:cNvPr id="19667" name="Option Button 211" hidden="1">
              <a:extLst>
                <a:ext uri="{63B3BB69-23CF-44E3-9099-C40C66FF867C}">
                  <a14:compatExt spid="_x0000_s19667"/>
                </a:ext>
                <a:ext uri="{FF2B5EF4-FFF2-40B4-BE49-F238E27FC236}">
                  <a16:creationId xmlns:a16="http://schemas.microsoft.com/office/drawing/2014/main" id="{00000000-0008-0000-0300-0000D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609600</xdr:colOff>
          <xdr:row>78</xdr:row>
          <xdr:rowOff>38100</xdr:rowOff>
        </xdr:from>
        <xdr:to>
          <xdr:col>2</xdr:col>
          <xdr:colOff>1104900</xdr:colOff>
          <xdr:row>78</xdr:row>
          <xdr:rowOff>219075</xdr:rowOff>
        </xdr:to>
        <xdr:sp macro="" textlink="">
          <xdr:nvSpPr>
            <xdr:cNvPr id="19668" name="Option Button 212" hidden="1">
              <a:extLst>
                <a:ext uri="{63B3BB69-23CF-44E3-9099-C40C66FF867C}">
                  <a14:compatExt spid="_x0000_s19668"/>
                </a:ext>
                <a:ext uri="{FF2B5EF4-FFF2-40B4-BE49-F238E27FC236}">
                  <a16:creationId xmlns:a16="http://schemas.microsoft.com/office/drawing/2014/main" id="{00000000-0008-0000-0300-0000D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561975</xdr:colOff>
          <xdr:row>78</xdr:row>
          <xdr:rowOff>28575</xdr:rowOff>
        </xdr:from>
        <xdr:to>
          <xdr:col>3</xdr:col>
          <xdr:colOff>1057275</xdr:colOff>
          <xdr:row>78</xdr:row>
          <xdr:rowOff>228600</xdr:rowOff>
        </xdr:to>
        <xdr:sp macro="" textlink="">
          <xdr:nvSpPr>
            <xdr:cNvPr id="19669" name="Option Button 213" hidden="1">
              <a:extLst>
                <a:ext uri="{63B3BB69-23CF-44E3-9099-C40C66FF867C}">
                  <a14:compatExt spid="_x0000_s19669"/>
                </a:ext>
                <a:ext uri="{FF2B5EF4-FFF2-40B4-BE49-F238E27FC236}">
                  <a16:creationId xmlns:a16="http://schemas.microsoft.com/office/drawing/2014/main" id="{00000000-0008-0000-0300-0000D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78</xdr:row>
          <xdr:rowOff>28575</xdr:rowOff>
        </xdr:from>
        <xdr:to>
          <xdr:col>4</xdr:col>
          <xdr:colOff>1476375</xdr:colOff>
          <xdr:row>78</xdr:row>
          <xdr:rowOff>228600</xdr:rowOff>
        </xdr:to>
        <xdr:sp macro="" textlink="">
          <xdr:nvSpPr>
            <xdr:cNvPr id="19670" name="Option Button 214" hidden="1">
              <a:extLst>
                <a:ext uri="{63B3BB69-23CF-44E3-9099-C40C66FF867C}">
                  <a14:compatExt spid="_x0000_s19670"/>
                </a:ext>
                <a:ext uri="{FF2B5EF4-FFF2-40B4-BE49-F238E27FC236}">
                  <a16:creationId xmlns:a16="http://schemas.microsoft.com/office/drawing/2014/main" id="{00000000-0008-0000-0300-0000D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847725</xdr:colOff>
          <xdr:row>78</xdr:row>
          <xdr:rowOff>47625</xdr:rowOff>
        </xdr:from>
        <xdr:to>
          <xdr:col>5</xdr:col>
          <xdr:colOff>1381125</xdr:colOff>
          <xdr:row>78</xdr:row>
          <xdr:rowOff>228600</xdr:rowOff>
        </xdr:to>
        <xdr:sp macro="" textlink="">
          <xdr:nvSpPr>
            <xdr:cNvPr id="19671" name="Option Button 215" hidden="1">
              <a:extLst>
                <a:ext uri="{63B3BB69-23CF-44E3-9099-C40C66FF867C}">
                  <a14:compatExt spid="_x0000_s19671"/>
                </a:ext>
                <a:ext uri="{FF2B5EF4-FFF2-40B4-BE49-F238E27FC236}">
                  <a16:creationId xmlns:a16="http://schemas.microsoft.com/office/drawing/2014/main" id="{00000000-0008-0000-0300-0000D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80</xdr:row>
          <xdr:rowOff>38100</xdr:rowOff>
        </xdr:from>
        <xdr:to>
          <xdr:col>2</xdr:col>
          <xdr:colOff>1066800</xdr:colOff>
          <xdr:row>80</xdr:row>
          <xdr:rowOff>228600</xdr:rowOff>
        </xdr:to>
        <xdr:sp macro="" textlink="">
          <xdr:nvSpPr>
            <xdr:cNvPr id="19676" name="Option Button 220" hidden="1">
              <a:extLst>
                <a:ext uri="{63B3BB69-23CF-44E3-9099-C40C66FF867C}">
                  <a14:compatExt spid="_x0000_s19676"/>
                </a:ext>
                <a:ext uri="{FF2B5EF4-FFF2-40B4-BE49-F238E27FC236}">
                  <a16:creationId xmlns:a16="http://schemas.microsoft.com/office/drawing/2014/main" id="{00000000-0008-0000-0300-0000D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80</xdr:row>
          <xdr:rowOff>38100</xdr:rowOff>
        </xdr:from>
        <xdr:to>
          <xdr:col>3</xdr:col>
          <xdr:colOff>1057275</xdr:colOff>
          <xdr:row>80</xdr:row>
          <xdr:rowOff>219075</xdr:rowOff>
        </xdr:to>
        <xdr:sp macro="" textlink="">
          <xdr:nvSpPr>
            <xdr:cNvPr id="19677" name="Option Button 221" hidden="1">
              <a:extLst>
                <a:ext uri="{63B3BB69-23CF-44E3-9099-C40C66FF867C}">
                  <a14:compatExt spid="_x0000_s19677"/>
                </a:ext>
                <a:ext uri="{FF2B5EF4-FFF2-40B4-BE49-F238E27FC236}">
                  <a16:creationId xmlns:a16="http://schemas.microsoft.com/office/drawing/2014/main" id="{00000000-0008-0000-0300-0000D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685800</xdr:colOff>
          <xdr:row>80</xdr:row>
          <xdr:rowOff>38100</xdr:rowOff>
        </xdr:from>
        <xdr:to>
          <xdr:col>4</xdr:col>
          <xdr:colOff>1219200</xdr:colOff>
          <xdr:row>80</xdr:row>
          <xdr:rowOff>228600</xdr:rowOff>
        </xdr:to>
        <xdr:sp macro="" textlink="">
          <xdr:nvSpPr>
            <xdr:cNvPr id="19678" name="Option Button 222" hidden="1">
              <a:extLst>
                <a:ext uri="{63B3BB69-23CF-44E3-9099-C40C66FF867C}">
                  <a14:compatExt spid="_x0000_s19678"/>
                </a:ext>
                <a:ext uri="{FF2B5EF4-FFF2-40B4-BE49-F238E27FC236}">
                  <a16:creationId xmlns:a16="http://schemas.microsoft.com/office/drawing/2014/main" id="{00000000-0008-0000-0300-0000D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80</xdr:row>
          <xdr:rowOff>38100</xdr:rowOff>
        </xdr:from>
        <xdr:to>
          <xdr:col>5</xdr:col>
          <xdr:colOff>1419225</xdr:colOff>
          <xdr:row>80</xdr:row>
          <xdr:rowOff>219075</xdr:rowOff>
        </xdr:to>
        <xdr:sp macro="" textlink="">
          <xdr:nvSpPr>
            <xdr:cNvPr id="19679" name="Option Button 223" hidden="1">
              <a:extLst>
                <a:ext uri="{63B3BB69-23CF-44E3-9099-C40C66FF867C}">
                  <a14:compatExt spid="_x0000_s19679"/>
                </a:ext>
                <a:ext uri="{FF2B5EF4-FFF2-40B4-BE49-F238E27FC236}">
                  <a16:creationId xmlns:a16="http://schemas.microsoft.com/office/drawing/2014/main" id="{00000000-0008-0000-0300-0000D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609600</xdr:colOff>
          <xdr:row>83</xdr:row>
          <xdr:rowOff>38100</xdr:rowOff>
        </xdr:from>
        <xdr:to>
          <xdr:col>2</xdr:col>
          <xdr:colOff>1133475</xdr:colOff>
          <xdr:row>83</xdr:row>
          <xdr:rowOff>228600</xdr:rowOff>
        </xdr:to>
        <xdr:sp macro="" textlink="">
          <xdr:nvSpPr>
            <xdr:cNvPr id="19684" name="Option Button 228" hidden="1">
              <a:extLst>
                <a:ext uri="{63B3BB69-23CF-44E3-9099-C40C66FF867C}">
                  <a14:compatExt spid="_x0000_s19684"/>
                </a:ext>
                <a:ext uri="{FF2B5EF4-FFF2-40B4-BE49-F238E27FC236}">
                  <a16:creationId xmlns:a16="http://schemas.microsoft.com/office/drawing/2014/main" id="{00000000-0008-0000-0300-0000E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83</xdr:row>
          <xdr:rowOff>38100</xdr:rowOff>
        </xdr:from>
        <xdr:to>
          <xdr:col>3</xdr:col>
          <xdr:colOff>942975</xdr:colOff>
          <xdr:row>83</xdr:row>
          <xdr:rowOff>238125</xdr:rowOff>
        </xdr:to>
        <xdr:sp macro="" textlink="">
          <xdr:nvSpPr>
            <xdr:cNvPr id="19685" name="Option Button 229" hidden="1">
              <a:extLst>
                <a:ext uri="{63B3BB69-23CF-44E3-9099-C40C66FF867C}">
                  <a14:compatExt spid="_x0000_s19685"/>
                </a:ext>
                <a:ext uri="{FF2B5EF4-FFF2-40B4-BE49-F238E27FC236}">
                  <a16:creationId xmlns:a16="http://schemas.microsoft.com/office/drawing/2014/main" id="{00000000-0008-0000-0300-0000E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83</xdr:row>
          <xdr:rowOff>38100</xdr:rowOff>
        </xdr:from>
        <xdr:to>
          <xdr:col>4</xdr:col>
          <xdr:colOff>1247775</xdr:colOff>
          <xdr:row>83</xdr:row>
          <xdr:rowOff>228600</xdr:rowOff>
        </xdr:to>
        <xdr:sp macro="" textlink="">
          <xdr:nvSpPr>
            <xdr:cNvPr id="19686" name="Option Button 230" hidden="1">
              <a:extLst>
                <a:ext uri="{63B3BB69-23CF-44E3-9099-C40C66FF867C}">
                  <a14:compatExt spid="_x0000_s19686"/>
                </a:ext>
                <a:ext uri="{FF2B5EF4-FFF2-40B4-BE49-F238E27FC236}">
                  <a16:creationId xmlns:a16="http://schemas.microsoft.com/office/drawing/2014/main" id="{00000000-0008-0000-0300-0000E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83</xdr:row>
          <xdr:rowOff>47625</xdr:rowOff>
        </xdr:from>
        <xdr:to>
          <xdr:col>5</xdr:col>
          <xdr:colOff>1333500</xdr:colOff>
          <xdr:row>83</xdr:row>
          <xdr:rowOff>219075</xdr:rowOff>
        </xdr:to>
        <xdr:sp macro="" textlink="">
          <xdr:nvSpPr>
            <xdr:cNvPr id="19687" name="Option Button 231" hidden="1">
              <a:extLst>
                <a:ext uri="{63B3BB69-23CF-44E3-9099-C40C66FF867C}">
                  <a14:compatExt spid="_x0000_s19687"/>
                </a:ext>
                <a:ext uri="{FF2B5EF4-FFF2-40B4-BE49-F238E27FC236}">
                  <a16:creationId xmlns:a16="http://schemas.microsoft.com/office/drawing/2014/main" id="{00000000-0008-0000-0300-0000E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84</xdr:row>
          <xdr:rowOff>38100</xdr:rowOff>
        </xdr:from>
        <xdr:to>
          <xdr:col>2</xdr:col>
          <xdr:colOff>981075</xdr:colOff>
          <xdr:row>84</xdr:row>
          <xdr:rowOff>228600</xdr:rowOff>
        </xdr:to>
        <xdr:sp macro="" textlink="">
          <xdr:nvSpPr>
            <xdr:cNvPr id="19688" name="Option Button 232" hidden="1">
              <a:extLst>
                <a:ext uri="{63B3BB69-23CF-44E3-9099-C40C66FF867C}">
                  <a14:compatExt spid="_x0000_s19688"/>
                </a:ext>
                <a:ext uri="{FF2B5EF4-FFF2-40B4-BE49-F238E27FC236}">
                  <a16:creationId xmlns:a16="http://schemas.microsoft.com/office/drawing/2014/main" id="{00000000-0008-0000-0300-0000E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84</xdr:row>
          <xdr:rowOff>47625</xdr:rowOff>
        </xdr:from>
        <xdr:to>
          <xdr:col>3</xdr:col>
          <xdr:colOff>942975</xdr:colOff>
          <xdr:row>84</xdr:row>
          <xdr:rowOff>219075</xdr:rowOff>
        </xdr:to>
        <xdr:sp macro="" textlink="">
          <xdr:nvSpPr>
            <xdr:cNvPr id="19689" name="Option Button 233" hidden="1">
              <a:extLst>
                <a:ext uri="{63B3BB69-23CF-44E3-9099-C40C66FF867C}">
                  <a14:compatExt spid="_x0000_s19689"/>
                </a:ext>
                <a:ext uri="{FF2B5EF4-FFF2-40B4-BE49-F238E27FC236}">
                  <a16:creationId xmlns:a16="http://schemas.microsoft.com/office/drawing/2014/main" id="{00000000-0008-0000-0300-0000E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685800</xdr:colOff>
          <xdr:row>84</xdr:row>
          <xdr:rowOff>38100</xdr:rowOff>
        </xdr:from>
        <xdr:to>
          <xdr:col>4</xdr:col>
          <xdr:colOff>1104900</xdr:colOff>
          <xdr:row>84</xdr:row>
          <xdr:rowOff>219075</xdr:rowOff>
        </xdr:to>
        <xdr:sp macro="" textlink="">
          <xdr:nvSpPr>
            <xdr:cNvPr id="19690" name="Option Button 234" hidden="1">
              <a:extLst>
                <a:ext uri="{63B3BB69-23CF-44E3-9099-C40C66FF867C}">
                  <a14:compatExt spid="_x0000_s19690"/>
                </a:ext>
                <a:ext uri="{FF2B5EF4-FFF2-40B4-BE49-F238E27FC236}">
                  <a16:creationId xmlns:a16="http://schemas.microsoft.com/office/drawing/2014/main" id="{00000000-0008-0000-0300-0000E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84</xdr:row>
          <xdr:rowOff>38100</xdr:rowOff>
        </xdr:from>
        <xdr:to>
          <xdr:col>5</xdr:col>
          <xdr:colOff>1219200</xdr:colOff>
          <xdr:row>84</xdr:row>
          <xdr:rowOff>228600</xdr:rowOff>
        </xdr:to>
        <xdr:sp macro="" textlink="">
          <xdr:nvSpPr>
            <xdr:cNvPr id="19691" name="Option Button 235" hidden="1">
              <a:extLst>
                <a:ext uri="{63B3BB69-23CF-44E3-9099-C40C66FF867C}">
                  <a14:compatExt spid="_x0000_s19691"/>
                </a:ext>
                <a:ext uri="{FF2B5EF4-FFF2-40B4-BE49-F238E27FC236}">
                  <a16:creationId xmlns:a16="http://schemas.microsoft.com/office/drawing/2014/main" id="{00000000-0008-0000-0300-0000E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86</xdr:row>
          <xdr:rowOff>38100</xdr:rowOff>
        </xdr:from>
        <xdr:to>
          <xdr:col>2</xdr:col>
          <xdr:colOff>923925</xdr:colOff>
          <xdr:row>86</xdr:row>
          <xdr:rowOff>228600</xdr:rowOff>
        </xdr:to>
        <xdr:sp macro="" textlink="">
          <xdr:nvSpPr>
            <xdr:cNvPr id="19692" name="Option Button 236" hidden="1">
              <a:extLst>
                <a:ext uri="{63B3BB69-23CF-44E3-9099-C40C66FF867C}">
                  <a14:compatExt spid="_x0000_s19692"/>
                </a:ext>
                <a:ext uri="{FF2B5EF4-FFF2-40B4-BE49-F238E27FC236}">
                  <a16:creationId xmlns:a16="http://schemas.microsoft.com/office/drawing/2014/main" id="{00000000-0008-0000-0300-0000E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86</xdr:row>
          <xdr:rowOff>38100</xdr:rowOff>
        </xdr:from>
        <xdr:to>
          <xdr:col>3</xdr:col>
          <xdr:colOff>904875</xdr:colOff>
          <xdr:row>86</xdr:row>
          <xdr:rowOff>228600</xdr:rowOff>
        </xdr:to>
        <xdr:sp macro="" textlink="">
          <xdr:nvSpPr>
            <xdr:cNvPr id="19693" name="Option Button 237" hidden="1">
              <a:extLst>
                <a:ext uri="{63B3BB69-23CF-44E3-9099-C40C66FF867C}">
                  <a14:compatExt spid="_x0000_s19693"/>
                </a:ext>
                <a:ext uri="{FF2B5EF4-FFF2-40B4-BE49-F238E27FC236}">
                  <a16:creationId xmlns:a16="http://schemas.microsoft.com/office/drawing/2014/main" id="{00000000-0008-0000-0300-0000E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86</xdr:row>
          <xdr:rowOff>38100</xdr:rowOff>
        </xdr:from>
        <xdr:to>
          <xdr:col>4</xdr:col>
          <xdr:colOff>1095375</xdr:colOff>
          <xdr:row>86</xdr:row>
          <xdr:rowOff>228600</xdr:rowOff>
        </xdr:to>
        <xdr:sp macro="" textlink="">
          <xdr:nvSpPr>
            <xdr:cNvPr id="19694" name="Option Button 238" hidden="1">
              <a:extLst>
                <a:ext uri="{63B3BB69-23CF-44E3-9099-C40C66FF867C}">
                  <a14:compatExt spid="_x0000_s19694"/>
                </a:ext>
                <a:ext uri="{FF2B5EF4-FFF2-40B4-BE49-F238E27FC236}">
                  <a16:creationId xmlns:a16="http://schemas.microsoft.com/office/drawing/2014/main" id="{00000000-0008-0000-0300-0000E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86</xdr:row>
          <xdr:rowOff>38100</xdr:rowOff>
        </xdr:from>
        <xdr:to>
          <xdr:col>5</xdr:col>
          <xdr:colOff>1228725</xdr:colOff>
          <xdr:row>86</xdr:row>
          <xdr:rowOff>228600</xdr:rowOff>
        </xdr:to>
        <xdr:sp macro="" textlink="">
          <xdr:nvSpPr>
            <xdr:cNvPr id="19695" name="Option Button 239" hidden="1">
              <a:extLst>
                <a:ext uri="{63B3BB69-23CF-44E3-9099-C40C66FF867C}">
                  <a14:compatExt spid="_x0000_s19695"/>
                </a:ext>
                <a:ext uri="{FF2B5EF4-FFF2-40B4-BE49-F238E27FC236}">
                  <a16:creationId xmlns:a16="http://schemas.microsoft.com/office/drawing/2014/main" id="{00000000-0008-0000-0300-0000E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87</xdr:row>
          <xdr:rowOff>38100</xdr:rowOff>
        </xdr:from>
        <xdr:to>
          <xdr:col>2</xdr:col>
          <xdr:colOff>1095375</xdr:colOff>
          <xdr:row>87</xdr:row>
          <xdr:rowOff>228600</xdr:rowOff>
        </xdr:to>
        <xdr:sp macro="" textlink="">
          <xdr:nvSpPr>
            <xdr:cNvPr id="19696" name="Option Button 240" hidden="1">
              <a:extLst>
                <a:ext uri="{63B3BB69-23CF-44E3-9099-C40C66FF867C}">
                  <a14:compatExt spid="_x0000_s19696"/>
                </a:ext>
                <a:ext uri="{FF2B5EF4-FFF2-40B4-BE49-F238E27FC236}">
                  <a16:creationId xmlns:a16="http://schemas.microsoft.com/office/drawing/2014/main" id="{00000000-0008-0000-0300-0000F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87</xdr:row>
          <xdr:rowOff>47625</xdr:rowOff>
        </xdr:from>
        <xdr:to>
          <xdr:col>3</xdr:col>
          <xdr:colOff>1247775</xdr:colOff>
          <xdr:row>87</xdr:row>
          <xdr:rowOff>219075</xdr:rowOff>
        </xdr:to>
        <xdr:sp macro="" textlink="">
          <xdr:nvSpPr>
            <xdr:cNvPr id="19697" name="Option Button 241" hidden="1">
              <a:extLst>
                <a:ext uri="{63B3BB69-23CF-44E3-9099-C40C66FF867C}">
                  <a14:compatExt spid="_x0000_s19697"/>
                </a:ext>
                <a:ext uri="{FF2B5EF4-FFF2-40B4-BE49-F238E27FC236}">
                  <a16:creationId xmlns:a16="http://schemas.microsoft.com/office/drawing/2014/main" id="{00000000-0008-0000-0300-0000F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685800</xdr:colOff>
          <xdr:row>87</xdr:row>
          <xdr:rowOff>47625</xdr:rowOff>
        </xdr:from>
        <xdr:to>
          <xdr:col>4</xdr:col>
          <xdr:colOff>1095375</xdr:colOff>
          <xdr:row>87</xdr:row>
          <xdr:rowOff>219075</xdr:rowOff>
        </xdr:to>
        <xdr:sp macro="" textlink="">
          <xdr:nvSpPr>
            <xdr:cNvPr id="19698" name="Option Button 242" hidden="1">
              <a:extLst>
                <a:ext uri="{63B3BB69-23CF-44E3-9099-C40C66FF867C}">
                  <a14:compatExt spid="_x0000_s19698"/>
                </a:ext>
                <a:ext uri="{FF2B5EF4-FFF2-40B4-BE49-F238E27FC236}">
                  <a16:creationId xmlns:a16="http://schemas.microsoft.com/office/drawing/2014/main" id="{00000000-0008-0000-0300-0000F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87</xdr:row>
          <xdr:rowOff>38100</xdr:rowOff>
        </xdr:from>
        <xdr:to>
          <xdr:col>5</xdr:col>
          <xdr:colOff>1266825</xdr:colOff>
          <xdr:row>87</xdr:row>
          <xdr:rowOff>238125</xdr:rowOff>
        </xdr:to>
        <xdr:sp macro="" textlink="">
          <xdr:nvSpPr>
            <xdr:cNvPr id="19699" name="Option Button 243" hidden="1">
              <a:extLst>
                <a:ext uri="{63B3BB69-23CF-44E3-9099-C40C66FF867C}">
                  <a14:compatExt spid="_x0000_s19699"/>
                </a:ext>
                <a:ext uri="{FF2B5EF4-FFF2-40B4-BE49-F238E27FC236}">
                  <a16:creationId xmlns:a16="http://schemas.microsoft.com/office/drawing/2014/main" id="{00000000-0008-0000-0300-0000F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89</xdr:row>
          <xdr:rowOff>47625</xdr:rowOff>
        </xdr:from>
        <xdr:to>
          <xdr:col>2</xdr:col>
          <xdr:colOff>1057275</xdr:colOff>
          <xdr:row>89</xdr:row>
          <xdr:rowOff>228600</xdr:rowOff>
        </xdr:to>
        <xdr:sp macro="" textlink="">
          <xdr:nvSpPr>
            <xdr:cNvPr id="19700" name="Option Button 244" hidden="1">
              <a:extLst>
                <a:ext uri="{63B3BB69-23CF-44E3-9099-C40C66FF867C}">
                  <a14:compatExt spid="_x0000_s19700"/>
                </a:ext>
                <a:ext uri="{FF2B5EF4-FFF2-40B4-BE49-F238E27FC236}">
                  <a16:creationId xmlns:a16="http://schemas.microsoft.com/office/drawing/2014/main" id="{00000000-0008-0000-0300-0000F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89</xdr:row>
          <xdr:rowOff>47625</xdr:rowOff>
        </xdr:from>
        <xdr:to>
          <xdr:col>3</xdr:col>
          <xdr:colOff>914400</xdr:colOff>
          <xdr:row>89</xdr:row>
          <xdr:rowOff>228600</xdr:rowOff>
        </xdr:to>
        <xdr:sp macro="" textlink="">
          <xdr:nvSpPr>
            <xdr:cNvPr id="19701" name="Option Button 245" hidden="1">
              <a:extLst>
                <a:ext uri="{63B3BB69-23CF-44E3-9099-C40C66FF867C}">
                  <a14:compatExt spid="_x0000_s19701"/>
                </a:ext>
                <a:ext uri="{FF2B5EF4-FFF2-40B4-BE49-F238E27FC236}">
                  <a16:creationId xmlns:a16="http://schemas.microsoft.com/office/drawing/2014/main" id="{00000000-0008-0000-0300-0000F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685800</xdr:colOff>
          <xdr:row>89</xdr:row>
          <xdr:rowOff>38100</xdr:rowOff>
        </xdr:from>
        <xdr:to>
          <xdr:col>4</xdr:col>
          <xdr:colOff>1114425</xdr:colOff>
          <xdr:row>89</xdr:row>
          <xdr:rowOff>219075</xdr:rowOff>
        </xdr:to>
        <xdr:sp macro="" textlink="">
          <xdr:nvSpPr>
            <xdr:cNvPr id="19702" name="Option Button 246" hidden="1">
              <a:extLst>
                <a:ext uri="{63B3BB69-23CF-44E3-9099-C40C66FF867C}">
                  <a14:compatExt spid="_x0000_s19702"/>
                </a:ext>
                <a:ext uri="{FF2B5EF4-FFF2-40B4-BE49-F238E27FC236}">
                  <a16:creationId xmlns:a16="http://schemas.microsoft.com/office/drawing/2014/main" id="{00000000-0008-0000-0300-0000F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847725</xdr:colOff>
          <xdr:row>89</xdr:row>
          <xdr:rowOff>38100</xdr:rowOff>
        </xdr:from>
        <xdr:to>
          <xdr:col>5</xdr:col>
          <xdr:colOff>1295400</xdr:colOff>
          <xdr:row>89</xdr:row>
          <xdr:rowOff>228600</xdr:rowOff>
        </xdr:to>
        <xdr:sp macro="" textlink="">
          <xdr:nvSpPr>
            <xdr:cNvPr id="19703" name="Option Button 247" hidden="1">
              <a:extLst>
                <a:ext uri="{63B3BB69-23CF-44E3-9099-C40C66FF867C}">
                  <a14:compatExt spid="_x0000_s19703"/>
                </a:ext>
                <a:ext uri="{FF2B5EF4-FFF2-40B4-BE49-F238E27FC236}">
                  <a16:creationId xmlns:a16="http://schemas.microsoft.com/office/drawing/2014/main" id="{00000000-0008-0000-0300-0000F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91</xdr:row>
          <xdr:rowOff>38100</xdr:rowOff>
        </xdr:from>
        <xdr:to>
          <xdr:col>2</xdr:col>
          <xdr:colOff>1104900</xdr:colOff>
          <xdr:row>91</xdr:row>
          <xdr:rowOff>228600</xdr:rowOff>
        </xdr:to>
        <xdr:sp macro="" textlink="">
          <xdr:nvSpPr>
            <xdr:cNvPr id="19704" name="Option Button 248" hidden="1">
              <a:extLst>
                <a:ext uri="{63B3BB69-23CF-44E3-9099-C40C66FF867C}">
                  <a14:compatExt spid="_x0000_s19704"/>
                </a:ext>
                <a:ext uri="{FF2B5EF4-FFF2-40B4-BE49-F238E27FC236}">
                  <a16:creationId xmlns:a16="http://schemas.microsoft.com/office/drawing/2014/main" id="{00000000-0008-0000-0300-0000F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91</xdr:row>
          <xdr:rowOff>38100</xdr:rowOff>
        </xdr:from>
        <xdr:to>
          <xdr:col>3</xdr:col>
          <xdr:colOff>1038225</xdr:colOff>
          <xdr:row>91</xdr:row>
          <xdr:rowOff>228600</xdr:rowOff>
        </xdr:to>
        <xdr:sp macro="" textlink="">
          <xdr:nvSpPr>
            <xdr:cNvPr id="19705" name="Option Button 249" hidden="1">
              <a:extLst>
                <a:ext uri="{63B3BB69-23CF-44E3-9099-C40C66FF867C}">
                  <a14:compatExt spid="_x0000_s19705"/>
                </a:ext>
                <a:ext uri="{FF2B5EF4-FFF2-40B4-BE49-F238E27FC236}">
                  <a16:creationId xmlns:a16="http://schemas.microsoft.com/office/drawing/2014/main" id="{00000000-0008-0000-0300-0000F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91</xdr:row>
          <xdr:rowOff>38100</xdr:rowOff>
        </xdr:from>
        <xdr:to>
          <xdr:col>4</xdr:col>
          <xdr:colOff>1143000</xdr:colOff>
          <xdr:row>91</xdr:row>
          <xdr:rowOff>219075</xdr:rowOff>
        </xdr:to>
        <xdr:sp macro="" textlink="">
          <xdr:nvSpPr>
            <xdr:cNvPr id="19706" name="Option Button 250" hidden="1">
              <a:extLst>
                <a:ext uri="{63B3BB69-23CF-44E3-9099-C40C66FF867C}">
                  <a14:compatExt spid="_x0000_s19706"/>
                </a:ext>
                <a:ext uri="{FF2B5EF4-FFF2-40B4-BE49-F238E27FC236}">
                  <a16:creationId xmlns:a16="http://schemas.microsoft.com/office/drawing/2014/main" id="{00000000-0008-0000-0300-0000F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91</xdr:row>
          <xdr:rowOff>38100</xdr:rowOff>
        </xdr:from>
        <xdr:to>
          <xdr:col>5</xdr:col>
          <xdr:colOff>1447800</xdr:colOff>
          <xdr:row>91</xdr:row>
          <xdr:rowOff>219075</xdr:rowOff>
        </xdr:to>
        <xdr:sp macro="" textlink="">
          <xdr:nvSpPr>
            <xdr:cNvPr id="19707" name="Option Button 251" hidden="1">
              <a:extLst>
                <a:ext uri="{63B3BB69-23CF-44E3-9099-C40C66FF867C}">
                  <a14:compatExt spid="_x0000_s19707"/>
                </a:ext>
                <a:ext uri="{FF2B5EF4-FFF2-40B4-BE49-F238E27FC236}">
                  <a16:creationId xmlns:a16="http://schemas.microsoft.com/office/drawing/2014/main" id="{00000000-0008-0000-0300-0000F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92</xdr:row>
          <xdr:rowOff>38100</xdr:rowOff>
        </xdr:from>
        <xdr:to>
          <xdr:col>2</xdr:col>
          <xdr:colOff>1095375</xdr:colOff>
          <xdr:row>92</xdr:row>
          <xdr:rowOff>228600</xdr:rowOff>
        </xdr:to>
        <xdr:sp macro="" textlink="">
          <xdr:nvSpPr>
            <xdr:cNvPr id="19708" name="Option Button 252" hidden="1">
              <a:extLst>
                <a:ext uri="{63B3BB69-23CF-44E3-9099-C40C66FF867C}">
                  <a14:compatExt spid="_x0000_s19708"/>
                </a:ext>
                <a:ext uri="{FF2B5EF4-FFF2-40B4-BE49-F238E27FC236}">
                  <a16:creationId xmlns:a16="http://schemas.microsoft.com/office/drawing/2014/main" id="{00000000-0008-0000-0300-0000F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92</xdr:row>
          <xdr:rowOff>38100</xdr:rowOff>
        </xdr:from>
        <xdr:to>
          <xdr:col>3</xdr:col>
          <xdr:colOff>1114425</xdr:colOff>
          <xdr:row>92</xdr:row>
          <xdr:rowOff>219075</xdr:rowOff>
        </xdr:to>
        <xdr:sp macro="" textlink="">
          <xdr:nvSpPr>
            <xdr:cNvPr id="19709" name="Option Button 253" hidden="1">
              <a:extLst>
                <a:ext uri="{63B3BB69-23CF-44E3-9099-C40C66FF867C}">
                  <a14:compatExt spid="_x0000_s19709"/>
                </a:ext>
                <a:ext uri="{FF2B5EF4-FFF2-40B4-BE49-F238E27FC236}">
                  <a16:creationId xmlns:a16="http://schemas.microsoft.com/office/drawing/2014/main" id="{00000000-0008-0000-0300-0000F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92</xdr:row>
          <xdr:rowOff>47625</xdr:rowOff>
        </xdr:from>
        <xdr:to>
          <xdr:col>4</xdr:col>
          <xdr:colOff>1247775</xdr:colOff>
          <xdr:row>92</xdr:row>
          <xdr:rowOff>228600</xdr:rowOff>
        </xdr:to>
        <xdr:sp macro="" textlink="">
          <xdr:nvSpPr>
            <xdr:cNvPr id="19710" name="Option Button 254" hidden="1">
              <a:extLst>
                <a:ext uri="{63B3BB69-23CF-44E3-9099-C40C66FF867C}">
                  <a14:compatExt spid="_x0000_s19710"/>
                </a:ext>
                <a:ext uri="{FF2B5EF4-FFF2-40B4-BE49-F238E27FC236}">
                  <a16:creationId xmlns:a16="http://schemas.microsoft.com/office/drawing/2014/main" id="{00000000-0008-0000-0300-0000F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92</xdr:row>
          <xdr:rowOff>38100</xdr:rowOff>
        </xdr:from>
        <xdr:to>
          <xdr:col>5</xdr:col>
          <xdr:colOff>1476375</xdr:colOff>
          <xdr:row>92</xdr:row>
          <xdr:rowOff>219075</xdr:rowOff>
        </xdr:to>
        <xdr:sp macro="" textlink="">
          <xdr:nvSpPr>
            <xdr:cNvPr id="19711" name="Option Button 255" hidden="1">
              <a:extLst>
                <a:ext uri="{63B3BB69-23CF-44E3-9099-C40C66FF867C}">
                  <a14:compatExt spid="_x0000_s19711"/>
                </a:ext>
                <a:ext uri="{FF2B5EF4-FFF2-40B4-BE49-F238E27FC236}">
                  <a16:creationId xmlns:a16="http://schemas.microsoft.com/office/drawing/2014/main" id="{00000000-0008-0000-0300-0000F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93</xdr:row>
          <xdr:rowOff>47625</xdr:rowOff>
        </xdr:from>
        <xdr:to>
          <xdr:col>2</xdr:col>
          <xdr:colOff>1076325</xdr:colOff>
          <xdr:row>93</xdr:row>
          <xdr:rowOff>228600</xdr:rowOff>
        </xdr:to>
        <xdr:sp macro="" textlink="">
          <xdr:nvSpPr>
            <xdr:cNvPr id="19712" name="Option Button 256" hidden="1">
              <a:extLst>
                <a:ext uri="{63B3BB69-23CF-44E3-9099-C40C66FF867C}">
                  <a14:compatExt spid="_x0000_s19712"/>
                </a:ext>
                <a:ext uri="{FF2B5EF4-FFF2-40B4-BE49-F238E27FC236}">
                  <a16:creationId xmlns:a16="http://schemas.microsoft.com/office/drawing/2014/main" id="{00000000-0008-0000-0300-0000004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561975</xdr:colOff>
          <xdr:row>93</xdr:row>
          <xdr:rowOff>38100</xdr:rowOff>
        </xdr:from>
        <xdr:to>
          <xdr:col>3</xdr:col>
          <xdr:colOff>1028700</xdr:colOff>
          <xdr:row>93</xdr:row>
          <xdr:rowOff>228600</xdr:rowOff>
        </xdr:to>
        <xdr:sp macro="" textlink="">
          <xdr:nvSpPr>
            <xdr:cNvPr id="19713" name="Option Button 257" hidden="1">
              <a:extLst>
                <a:ext uri="{63B3BB69-23CF-44E3-9099-C40C66FF867C}">
                  <a14:compatExt spid="_x0000_s19713"/>
                </a:ext>
                <a:ext uri="{FF2B5EF4-FFF2-40B4-BE49-F238E27FC236}">
                  <a16:creationId xmlns:a16="http://schemas.microsoft.com/office/drawing/2014/main" id="{00000000-0008-0000-0300-0000014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93</xdr:row>
          <xdr:rowOff>47625</xdr:rowOff>
        </xdr:from>
        <xdr:to>
          <xdr:col>4</xdr:col>
          <xdr:colOff>1095375</xdr:colOff>
          <xdr:row>93</xdr:row>
          <xdr:rowOff>228600</xdr:rowOff>
        </xdr:to>
        <xdr:sp macro="" textlink="">
          <xdr:nvSpPr>
            <xdr:cNvPr id="19714" name="Option Button 258" hidden="1">
              <a:extLst>
                <a:ext uri="{63B3BB69-23CF-44E3-9099-C40C66FF867C}">
                  <a14:compatExt spid="_x0000_s19714"/>
                </a:ext>
                <a:ext uri="{FF2B5EF4-FFF2-40B4-BE49-F238E27FC236}">
                  <a16:creationId xmlns:a16="http://schemas.microsoft.com/office/drawing/2014/main" id="{00000000-0008-0000-0300-0000024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93</xdr:row>
          <xdr:rowOff>38100</xdr:rowOff>
        </xdr:from>
        <xdr:to>
          <xdr:col>5</xdr:col>
          <xdr:colOff>1323975</xdr:colOff>
          <xdr:row>93</xdr:row>
          <xdr:rowOff>228600</xdr:rowOff>
        </xdr:to>
        <xdr:sp macro="" textlink="">
          <xdr:nvSpPr>
            <xdr:cNvPr id="19715" name="Option Button 259" hidden="1">
              <a:extLst>
                <a:ext uri="{63B3BB69-23CF-44E3-9099-C40C66FF867C}">
                  <a14:compatExt spid="_x0000_s19715"/>
                </a:ext>
                <a:ext uri="{FF2B5EF4-FFF2-40B4-BE49-F238E27FC236}">
                  <a16:creationId xmlns:a16="http://schemas.microsoft.com/office/drawing/2014/main" id="{00000000-0008-0000-0300-0000034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94</xdr:row>
          <xdr:rowOff>0</xdr:rowOff>
        </xdr:from>
        <xdr:to>
          <xdr:col>6</xdr:col>
          <xdr:colOff>0</xdr:colOff>
          <xdr:row>95</xdr:row>
          <xdr:rowOff>0</xdr:rowOff>
        </xdr:to>
        <xdr:sp macro="" textlink="">
          <xdr:nvSpPr>
            <xdr:cNvPr id="19716" name="Group Box 260" hidden="1">
              <a:extLst>
                <a:ext uri="{63B3BB69-23CF-44E3-9099-C40C66FF867C}">
                  <a14:compatExt spid="_x0000_s19716"/>
                </a:ext>
                <a:ext uri="{FF2B5EF4-FFF2-40B4-BE49-F238E27FC236}">
                  <a16:creationId xmlns:a16="http://schemas.microsoft.com/office/drawing/2014/main" id="{00000000-0008-0000-0300-0000044D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94</xdr:row>
          <xdr:rowOff>47625</xdr:rowOff>
        </xdr:from>
        <xdr:to>
          <xdr:col>2</xdr:col>
          <xdr:colOff>1019175</xdr:colOff>
          <xdr:row>94</xdr:row>
          <xdr:rowOff>219075</xdr:rowOff>
        </xdr:to>
        <xdr:sp macro="" textlink="">
          <xdr:nvSpPr>
            <xdr:cNvPr id="19717" name="Option Button 261" hidden="1">
              <a:extLst>
                <a:ext uri="{63B3BB69-23CF-44E3-9099-C40C66FF867C}">
                  <a14:compatExt spid="_x0000_s19717"/>
                </a:ext>
                <a:ext uri="{FF2B5EF4-FFF2-40B4-BE49-F238E27FC236}">
                  <a16:creationId xmlns:a16="http://schemas.microsoft.com/office/drawing/2014/main" id="{00000000-0008-0000-0300-0000054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542925</xdr:colOff>
          <xdr:row>94</xdr:row>
          <xdr:rowOff>38100</xdr:rowOff>
        </xdr:from>
        <xdr:to>
          <xdr:col>3</xdr:col>
          <xdr:colOff>1057275</xdr:colOff>
          <xdr:row>94</xdr:row>
          <xdr:rowOff>228600</xdr:rowOff>
        </xdr:to>
        <xdr:sp macro="" textlink="">
          <xdr:nvSpPr>
            <xdr:cNvPr id="19718" name="Option Button 262" hidden="1">
              <a:extLst>
                <a:ext uri="{63B3BB69-23CF-44E3-9099-C40C66FF867C}">
                  <a14:compatExt spid="_x0000_s19718"/>
                </a:ext>
                <a:ext uri="{FF2B5EF4-FFF2-40B4-BE49-F238E27FC236}">
                  <a16:creationId xmlns:a16="http://schemas.microsoft.com/office/drawing/2014/main" id="{00000000-0008-0000-0300-0000064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94</xdr:row>
          <xdr:rowOff>47625</xdr:rowOff>
        </xdr:from>
        <xdr:to>
          <xdr:col>4</xdr:col>
          <xdr:colOff>1333500</xdr:colOff>
          <xdr:row>94</xdr:row>
          <xdr:rowOff>219075</xdr:rowOff>
        </xdr:to>
        <xdr:sp macro="" textlink="">
          <xdr:nvSpPr>
            <xdr:cNvPr id="19719" name="Option Button 263" hidden="1">
              <a:extLst>
                <a:ext uri="{63B3BB69-23CF-44E3-9099-C40C66FF867C}">
                  <a14:compatExt spid="_x0000_s19719"/>
                </a:ext>
                <a:ext uri="{FF2B5EF4-FFF2-40B4-BE49-F238E27FC236}">
                  <a16:creationId xmlns:a16="http://schemas.microsoft.com/office/drawing/2014/main" id="{00000000-0008-0000-0300-0000074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866775</xdr:colOff>
          <xdr:row>94</xdr:row>
          <xdr:rowOff>38100</xdr:rowOff>
        </xdr:from>
        <xdr:to>
          <xdr:col>5</xdr:col>
          <xdr:colOff>1419225</xdr:colOff>
          <xdr:row>94</xdr:row>
          <xdr:rowOff>219075</xdr:rowOff>
        </xdr:to>
        <xdr:sp macro="" textlink="">
          <xdr:nvSpPr>
            <xdr:cNvPr id="19720" name="Option Button 264" hidden="1">
              <a:extLst>
                <a:ext uri="{63B3BB69-23CF-44E3-9099-C40C66FF867C}">
                  <a14:compatExt spid="_x0000_s19720"/>
                </a:ext>
                <a:ext uri="{FF2B5EF4-FFF2-40B4-BE49-F238E27FC236}">
                  <a16:creationId xmlns:a16="http://schemas.microsoft.com/office/drawing/2014/main" id="{00000000-0008-0000-0300-0000084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38100</xdr:colOff>
          <xdr:row>19</xdr:row>
          <xdr:rowOff>9525</xdr:rowOff>
        </xdr:from>
        <xdr:to>
          <xdr:col>1</xdr:col>
          <xdr:colOff>9525</xdr:colOff>
          <xdr:row>19</xdr:row>
          <xdr:rowOff>200025</xdr:rowOff>
        </xdr:to>
        <xdr:sp macro="" textlink="">
          <xdr:nvSpPr>
            <xdr:cNvPr id="11272" name="Check Box 8" descr=" " hidden="1">
              <a:extLst>
                <a:ext uri="{63B3BB69-23CF-44E3-9099-C40C66FF867C}">
                  <a14:compatExt spid="_x0000_s11272"/>
                </a:ext>
                <a:ext uri="{FF2B5EF4-FFF2-40B4-BE49-F238E27FC236}">
                  <a16:creationId xmlns:a16="http://schemas.microsoft.com/office/drawing/2014/main" id="{00000000-0008-0000-0400-000008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20</xdr:row>
          <xdr:rowOff>9525</xdr:rowOff>
        </xdr:from>
        <xdr:to>
          <xdr:col>1</xdr:col>
          <xdr:colOff>9525</xdr:colOff>
          <xdr:row>20</xdr:row>
          <xdr:rowOff>200025</xdr:rowOff>
        </xdr:to>
        <xdr:sp macro="" textlink="">
          <xdr:nvSpPr>
            <xdr:cNvPr id="11273" name="Check Box 9" descr=" " hidden="1">
              <a:extLst>
                <a:ext uri="{63B3BB69-23CF-44E3-9099-C40C66FF867C}">
                  <a14:compatExt spid="_x0000_s11273"/>
                </a:ext>
                <a:ext uri="{FF2B5EF4-FFF2-40B4-BE49-F238E27FC236}">
                  <a16:creationId xmlns:a16="http://schemas.microsoft.com/office/drawing/2014/main" id="{00000000-0008-0000-0400-000009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21</xdr:row>
          <xdr:rowOff>9525</xdr:rowOff>
        </xdr:from>
        <xdr:to>
          <xdr:col>1</xdr:col>
          <xdr:colOff>0</xdr:colOff>
          <xdr:row>21</xdr:row>
          <xdr:rowOff>200025</xdr:rowOff>
        </xdr:to>
        <xdr:sp macro="" textlink="">
          <xdr:nvSpPr>
            <xdr:cNvPr id="11274" name="Check Box 10" descr=" " hidden="1">
              <a:extLst>
                <a:ext uri="{63B3BB69-23CF-44E3-9099-C40C66FF867C}">
                  <a14:compatExt spid="_x0000_s11274"/>
                </a:ext>
                <a:ext uri="{FF2B5EF4-FFF2-40B4-BE49-F238E27FC236}">
                  <a16:creationId xmlns:a16="http://schemas.microsoft.com/office/drawing/2014/main" id="{00000000-0008-0000-0400-00000A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22</xdr:row>
          <xdr:rowOff>9525</xdr:rowOff>
        </xdr:from>
        <xdr:to>
          <xdr:col>1</xdr:col>
          <xdr:colOff>0</xdr:colOff>
          <xdr:row>22</xdr:row>
          <xdr:rowOff>200025</xdr:rowOff>
        </xdr:to>
        <xdr:sp macro="" textlink="">
          <xdr:nvSpPr>
            <xdr:cNvPr id="11275" name="Check Box 11" descr=" " hidden="1">
              <a:extLst>
                <a:ext uri="{63B3BB69-23CF-44E3-9099-C40C66FF867C}">
                  <a14:compatExt spid="_x0000_s11275"/>
                </a:ext>
                <a:ext uri="{FF2B5EF4-FFF2-40B4-BE49-F238E27FC236}">
                  <a16:creationId xmlns:a16="http://schemas.microsoft.com/office/drawing/2014/main" id="{00000000-0008-0000-0400-00000B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45</xdr:row>
          <xdr:rowOff>257175</xdr:rowOff>
        </xdr:from>
        <xdr:to>
          <xdr:col>6</xdr:col>
          <xdr:colOff>657225</xdr:colOff>
          <xdr:row>47</xdr:row>
          <xdr:rowOff>28575</xdr:rowOff>
        </xdr:to>
        <xdr:sp macro="" textlink="">
          <xdr:nvSpPr>
            <xdr:cNvPr id="11279" name="Check Box 15" hidden="1">
              <a:extLst>
                <a:ext uri="{63B3BB69-23CF-44E3-9099-C40C66FF867C}">
                  <a14:compatExt spid="_x0000_s11279"/>
                </a:ext>
                <a:ext uri="{FF2B5EF4-FFF2-40B4-BE49-F238E27FC236}">
                  <a16:creationId xmlns:a16="http://schemas.microsoft.com/office/drawing/2014/main" id="{00000000-0008-0000-0400-00000F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46</xdr:row>
          <xdr:rowOff>180975</xdr:rowOff>
        </xdr:from>
        <xdr:to>
          <xdr:col>6</xdr:col>
          <xdr:colOff>647700</xdr:colOff>
          <xdr:row>47</xdr:row>
          <xdr:rowOff>180975</xdr:rowOff>
        </xdr:to>
        <xdr:sp macro="" textlink="">
          <xdr:nvSpPr>
            <xdr:cNvPr id="11280" name="Check Box 16" hidden="1">
              <a:extLst>
                <a:ext uri="{63B3BB69-23CF-44E3-9099-C40C66FF867C}">
                  <a14:compatExt spid="_x0000_s11280"/>
                </a:ext>
                <a:ext uri="{FF2B5EF4-FFF2-40B4-BE49-F238E27FC236}">
                  <a16:creationId xmlns:a16="http://schemas.microsoft.com/office/drawing/2014/main" id="{00000000-0008-0000-0400-000010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47</xdr:row>
          <xdr:rowOff>161925</xdr:rowOff>
        </xdr:from>
        <xdr:to>
          <xdr:col>6</xdr:col>
          <xdr:colOff>647700</xdr:colOff>
          <xdr:row>49</xdr:row>
          <xdr:rowOff>9525</xdr:rowOff>
        </xdr:to>
        <xdr:sp macro="" textlink="">
          <xdr:nvSpPr>
            <xdr:cNvPr id="11281" name="Check Box 17" hidden="1">
              <a:extLst>
                <a:ext uri="{63B3BB69-23CF-44E3-9099-C40C66FF867C}">
                  <a14:compatExt spid="_x0000_s11281"/>
                </a:ext>
                <a:ext uri="{FF2B5EF4-FFF2-40B4-BE49-F238E27FC236}">
                  <a16:creationId xmlns:a16="http://schemas.microsoft.com/office/drawing/2014/main" id="{00000000-0008-0000-0400-000011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48</xdr:row>
          <xdr:rowOff>180975</xdr:rowOff>
        </xdr:from>
        <xdr:to>
          <xdr:col>6</xdr:col>
          <xdr:colOff>657225</xdr:colOff>
          <xdr:row>50</xdr:row>
          <xdr:rowOff>28575</xdr:rowOff>
        </xdr:to>
        <xdr:sp macro="" textlink="">
          <xdr:nvSpPr>
            <xdr:cNvPr id="11282" name="Check Box 18" hidden="1">
              <a:extLst>
                <a:ext uri="{63B3BB69-23CF-44E3-9099-C40C66FF867C}">
                  <a14:compatExt spid="_x0000_s11282"/>
                </a:ext>
                <a:ext uri="{FF2B5EF4-FFF2-40B4-BE49-F238E27FC236}">
                  <a16:creationId xmlns:a16="http://schemas.microsoft.com/office/drawing/2014/main" id="{00000000-0008-0000-0400-000012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304800</xdr:rowOff>
        </xdr:from>
        <xdr:to>
          <xdr:col>7</xdr:col>
          <xdr:colOff>0</xdr:colOff>
          <xdr:row>31</xdr:row>
          <xdr:rowOff>0</xdr:rowOff>
        </xdr:to>
        <xdr:sp macro="" textlink="">
          <xdr:nvSpPr>
            <xdr:cNvPr id="11303" name="Group Box 39" hidden="1">
              <a:extLst>
                <a:ext uri="{63B3BB69-23CF-44E3-9099-C40C66FF867C}">
                  <a14:compatExt spid="_x0000_s11303"/>
                </a:ext>
                <a:ext uri="{FF2B5EF4-FFF2-40B4-BE49-F238E27FC236}">
                  <a16:creationId xmlns:a16="http://schemas.microsoft.com/office/drawing/2014/main" id="{00000000-0008-0000-0400-0000272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295275</xdr:colOff>
          <xdr:row>30</xdr:row>
          <xdr:rowOff>123825</xdr:rowOff>
        </xdr:from>
        <xdr:to>
          <xdr:col>2</xdr:col>
          <xdr:colOff>790575</xdr:colOff>
          <xdr:row>30</xdr:row>
          <xdr:rowOff>504825</xdr:rowOff>
        </xdr:to>
        <xdr:sp macro="" textlink="">
          <xdr:nvSpPr>
            <xdr:cNvPr id="11313" name="Option Button 49" hidden="1">
              <a:extLst>
                <a:ext uri="{63B3BB69-23CF-44E3-9099-C40C66FF867C}">
                  <a14:compatExt spid="_x0000_s11313"/>
                </a:ext>
                <a:ext uri="{FF2B5EF4-FFF2-40B4-BE49-F238E27FC236}">
                  <a16:creationId xmlns:a16="http://schemas.microsoft.com/office/drawing/2014/main" id="{00000000-0008-0000-0400-00003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30</xdr:row>
          <xdr:rowOff>142875</xdr:rowOff>
        </xdr:from>
        <xdr:to>
          <xdr:col>3</xdr:col>
          <xdr:colOff>790575</xdr:colOff>
          <xdr:row>30</xdr:row>
          <xdr:rowOff>523875</xdr:rowOff>
        </xdr:to>
        <xdr:sp macro="" textlink="">
          <xdr:nvSpPr>
            <xdr:cNvPr id="11314" name="Option Button 50" hidden="1">
              <a:extLst>
                <a:ext uri="{63B3BB69-23CF-44E3-9099-C40C66FF867C}">
                  <a14:compatExt spid="_x0000_s11314"/>
                </a:ext>
                <a:ext uri="{FF2B5EF4-FFF2-40B4-BE49-F238E27FC236}">
                  <a16:creationId xmlns:a16="http://schemas.microsoft.com/office/drawing/2014/main" id="{00000000-0008-0000-0400-00003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30</xdr:row>
          <xdr:rowOff>123825</xdr:rowOff>
        </xdr:from>
        <xdr:to>
          <xdr:col>4</xdr:col>
          <xdr:colOff>771525</xdr:colOff>
          <xdr:row>30</xdr:row>
          <xdr:rowOff>523875</xdr:rowOff>
        </xdr:to>
        <xdr:sp macro="" textlink="">
          <xdr:nvSpPr>
            <xdr:cNvPr id="11315" name="Option Button 51" hidden="1">
              <a:extLst>
                <a:ext uri="{63B3BB69-23CF-44E3-9099-C40C66FF867C}">
                  <a14:compatExt spid="_x0000_s11315"/>
                </a:ext>
                <a:ext uri="{FF2B5EF4-FFF2-40B4-BE49-F238E27FC236}">
                  <a16:creationId xmlns:a16="http://schemas.microsoft.com/office/drawing/2014/main" id="{00000000-0008-0000-0400-00003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295275</xdr:colOff>
          <xdr:row>30</xdr:row>
          <xdr:rowOff>123825</xdr:rowOff>
        </xdr:from>
        <xdr:to>
          <xdr:col>5</xdr:col>
          <xdr:colOff>800100</xdr:colOff>
          <xdr:row>30</xdr:row>
          <xdr:rowOff>523875</xdr:rowOff>
        </xdr:to>
        <xdr:sp macro="" textlink="">
          <xdr:nvSpPr>
            <xdr:cNvPr id="11316" name="Option Button 52" hidden="1">
              <a:extLst>
                <a:ext uri="{63B3BB69-23CF-44E3-9099-C40C66FF867C}">
                  <a14:compatExt spid="_x0000_s11316"/>
                </a:ext>
                <a:ext uri="{FF2B5EF4-FFF2-40B4-BE49-F238E27FC236}">
                  <a16:creationId xmlns:a16="http://schemas.microsoft.com/office/drawing/2014/main" id="{00000000-0008-0000-0400-00003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314325</xdr:colOff>
          <xdr:row>30</xdr:row>
          <xdr:rowOff>123825</xdr:rowOff>
        </xdr:from>
        <xdr:to>
          <xdr:col>6</xdr:col>
          <xdr:colOff>800100</xdr:colOff>
          <xdr:row>30</xdr:row>
          <xdr:rowOff>495300</xdr:rowOff>
        </xdr:to>
        <xdr:sp macro="" textlink="">
          <xdr:nvSpPr>
            <xdr:cNvPr id="11317" name="Option Button 53" hidden="1">
              <a:extLst>
                <a:ext uri="{63B3BB69-23CF-44E3-9099-C40C66FF867C}">
                  <a14:compatExt spid="_x0000_s11317"/>
                </a:ext>
                <a:ext uri="{FF2B5EF4-FFF2-40B4-BE49-F238E27FC236}">
                  <a16:creationId xmlns:a16="http://schemas.microsoft.com/office/drawing/2014/main" id="{00000000-0008-0000-0400-00003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1590675</xdr:colOff>
          <xdr:row>30</xdr:row>
          <xdr:rowOff>533400</xdr:rowOff>
        </xdr:from>
        <xdr:to>
          <xdr:col>6</xdr:col>
          <xdr:colOff>876300</xdr:colOff>
          <xdr:row>31</xdr:row>
          <xdr:rowOff>371475</xdr:rowOff>
        </xdr:to>
        <xdr:sp macro="" textlink="">
          <xdr:nvSpPr>
            <xdr:cNvPr id="11318" name="Group Box 54" hidden="1">
              <a:extLst>
                <a:ext uri="{63B3BB69-23CF-44E3-9099-C40C66FF867C}">
                  <a14:compatExt spid="_x0000_s11318"/>
                </a:ext>
                <a:ext uri="{FF2B5EF4-FFF2-40B4-BE49-F238E27FC236}">
                  <a16:creationId xmlns:a16="http://schemas.microsoft.com/office/drawing/2014/main" id="{00000000-0008-0000-0400-0000362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295275</xdr:colOff>
          <xdr:row>31</xdr:row>
          <xdr:rowOff>66675</xdr:rowOff>
        </xdr:from>
        <xdr:to>
          <xdr:col>2</xdr:col>
          <xdr:colOff>752475</xdr:colOff>
          <xdr:row>31</xdr:row>
          <xdr:rowOff>333375</xdr:rowOff>
        </xdr:to>
        <xdr:sp macro="" textlink="">
          <xdr:nvSpPr>
            <xdr:cNvPr id="11319" name="Option Button 55" hidden="1">
              <a:extLst>
                <a:ext uri="{63B3BB69-23CF-44E3-9099-C40C66FF867C}">
                  <a14:compatExt spid="_x0000_s11319"/>
                </a:ext>
                <a:ext uri="{FF2B5EF4-FFF2-40B4-BE49-F238E27FC236}">
                  <a16:creationId xmlns:a16="http://schemas.microsoft.com/office/drawing/2014/main" id="{00000000-0008-0000-0400-00003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31</xdr:row>
          <xdr:rowOff>66675</xdr:rowOff>
        </xdr:from>
        <xdr:to>
          <xdr:col>3</xdr:col>
          <xdr:colOff>809625</xdr:colOff>
          <xdr:row>31</xdr:row>
          <xdr:rowOff>342900</xdr:rowOff>
        </xdr:to>
        <xdr:sp macro="" textlink="">
          <xdr:nvSpPr>
            <xdr:cNvPr id="11320" name="Option Button 56" hidden="1">
              <a:extLst>
                <a:ext uri="{63B3BB69-23CF-44E3-9099-C40C66FF867C}">
                  <a14:compatExt spid="_x0000_s11320"/>
                </a:ext>
                <a:ext uri="{FF2B5EF4-FFF2-40B4-BE49-F238E27FC236}">
                  <a16:creationId xmlns:a16="http://schemas.microsoft.com/office/drawing/2014/main" id="{00000000-0008-0000-0400-00003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31</xdr:row>
          <xdr:rowOff>66675</xdr:rowOff>
        </xdr:from>
        <xdr:to>
          <xdr:col>4</xdr:col>
          <xdr:colOff>800100</xdr:colOff>
          <xdr:row>31</xdr:row>
          <xdr:rowOff>342900</xdr:rowOff>
        </xdr:to>
        <xdr:sp macro="" textlink="">
          <xdr:nvSpPr>
            <xdr:cNvPr id="11321" name="Option Button 57" hidden="1">
              <a:extLst>
                <a:ext uri="{63B3BB69-23CF-44E3-9099-C40C66FF867C}">
                  <a14:compatExt spid="_x0000_s11321"/>
                </a:ext>
                <a:ext uri="{FF2B5EF4-FFF2-40B4-BE49-F238E27FC236}">
                  <a16:creationId xmlns:a16="http://schemas.microsoft.com/office/drawing/2014/main" id="{00000000-0008-0000-0400-00003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295275</xdr:colOff>
          <xdr:row>31</xdr:row>
          <xdr:rowOff>66675</xdr:rowOff>
        </xdr:from>
        <xdr:to>
          <xdr:col>5</xdr:col>
          <xdr:colOff>771525</xdr:colOff>
          <xdr:row>31</xdr:row>
          <xdr:rowOff>342900</xdr:rowOff>
        </xdr:to>
        <xdr:sp macro="" textlink="">
          <xdr:nvSpPr>
            <xdr:cNvPr id="11322" name="Option Button 58" hidden="1">
              <a:extLst>
                <a:ext uri="{63B3BB69-23CF-44E3-9099-C40C66FF867C}">
                  <a14:compatExt spid="_x0000_s11322"/>
                </a:ext>
                <a:ext uri="{FF2B5EF4-FFF2-40B4-BE49-F238E27FC236}">
                  <a16:creationId xmlns:a16="http://schemas.microsoft.com/office/drawing/2014/main" id="{00000000-0008-0000-0400-00003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304800</xdr:colOff>
          <xdr:row>31</xdr:row>
          <xdr:rowOff>47625</xdr:rowOff>
        </xdr:from>
        <xdr:to>
          <xdr:col>6</xdr:col>
          <xdr:colOff>800100</xdr:colOff>
          <xdr:row>31</xdr:row>
          <xdr:rowOff>314325</xdr:rowOff>
        </xdr:to>
        <xdr:sp macro="" textlink="">
          <xdr:nvSpPr>
            <xdr:cNvPr id="11324" name="Option Button 60" hidden="1">
              <a:extLst>
                <a:ext uri="{63B3BB69-23CF-44E3-9099-C40C66FF867C}">
                  <a14:compatExt spid="_x0000_s11324"/>
                </a:ext>
                <a:ext uri="{FF2B5EF4-FFF2-40B4-BE49-F238E27FC236}">
                  <a16:creationId xmlns:a16="http://schemas.microsoft.com/office/drawing/2014/main" id="{00000000-0008-0000-0400-00003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31</xdr:row>
          <xdr:rowOff>371475</xdr:rowOff>
        </xdr:from>
        <xdr:to>
          <xdr:col>6</xdr:col>
          <xdr:colOff>876300</xdr:colOff>
          <xdr:row>33</xdr:row>
          <xdr:rowOff>0</xdr:rowOff>
        </xdr:to>
        <xdr:sp macro="" textlink="">
          <xdr:nvSpPr>
            <xdr:cNvPr id="11325" name="Group Box 61" hidden="1">
              <a:extLst>
                <a:ext uri="{63B3BB69-23CF-44E3-9099-C40C66FF867C}">
                  <a14:compatExt spid="_x0000_s11325"/>
                </a:ext>
                <a:ext uri="{FF2B5EF4-FFF2-40B4-BE49-F238E27FC236}">
                  <a16:creationId xmlns:a16="http://schemas.microsoft.com/office/drawing/2014/main" id="{00000000-0008-0000-0400-00003D2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295275</xdr:colOff>
          <xdr:row>32</xdr:row>
          <xdr:rowOff>38100</xdr:rowOff>
        </xdr:from>
        <xdr:to>
          <xdr:col>2</xdr:col>
          <xdr:colOff>771525</xdr:colOff>
          <xdr:row>32</xdr:row>
          <xdr:rowOff>409575</xdr:rowOff>
        </xdr:to>
        <xdr:sp macro="" textlink="">
          <xdr:nvSpPr>
            <xdr:cNvPr id="11326" name="Option Button 62" hidden="1">
              <a:extLst>
                <a:ext uri="{63B3BB69-23CF-44E3-9099-C40C66FF867C}">
                  <a14:compatExt spid="_x0000_s11326"/>
                </a:ext>
                <a:ext uri="{FF2B5EF4-FFF2-40B4-BE49-F238E27FC236}">
                  <a16:creationId xmlns:a16="http://schemas.microsoft.com/office/drawing/2014/main" id="{00000000-0008-0000-0400-00003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32</xdr:row>
          <xdr:rowOff>66675</xdr:rowOff>
        </xdr:from>
        <xdr:to>
          <xdr:col>3</xdr:col>
          <xdr:colOff>790575</xdr:colOff>
          <xdr:row>32</xdr:row>
          <xdr:rowOff>409575</xdr:rowOff>
        </xdr:to>
        <xdr:sp macro="" textlink="">
          <xdr:nvSpPr>
            <xdr:cNvPr id="11327" name="Option Button 63" hidden="1">
              <a:extLst>
                <a:ext uri="{63B3BB69-23CF-44E3-9099-C40C66FF867C}">
                  <a14:compatExt spid="_x0000_s11327"/>
                </a:ext>
                <a:ext uri="{FF2B5EF4-FFF2-40B4-BE49-F238E27FC236}">
                  <a16:creationId xmlns:a16="http://schemas.microsoft.com/office/drawing/2014/main" id="{00000000-0008-0000-0400-00003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32</xdr:row>
          <xdr:rowOff>38100</xdr:rowOff>
        </xdr:from>
        <xdr:to>
          <xdr:col>4</xdr:col>
          <xdr:colOff>771525</xdr:colOff>
          <xdr:row>32</xdr:row>
          <xdr:rowOff>381000</xdr:rowOff>
        </xdr:to>
        <xdr:sp macro="" textlink="">
          <xdr:nvSpPr>
            <xdr:cNvPr id="11328" name="Option Button 64" hidden="1">
              <a:extLst>
                <a:ext uri="{63B3BB69-23CF-44E3-9099-C40C66FF867C}">
                  <a14:compatExt spid="_x0000_s11328"/>
                </a:ext>
                <a:ext uri="{FF2B5EF4-FFF2-40B4-BE49-F238E27FC236}">
                  <a16:creationId xmlns:a16="http://schemas.microsoft.com/office/drawing/2014/main" id="{00000000-0008-0000-0400-00004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295275</xdr:colOff>
          <xdr:row>32</xdr:row>
          <xdr:rowOff>38100</xdr:rowOff>
        </xdr:from>
        <xdr:to>
          <xdr:col>5</xdr:col>
          <xdr:colOff>800100</xdr:colOff>
          <xdr:row>32</xdr:row>
          <xdr:rowOff>381000</xdr:rowOff>
        </xdr:to>
        <xdr:sp macro="" textlink="">
          <xdr:nvSpPr>
            <xdr:cNvPr id="11329" name="Option Button 65" hidden="1">
              <a:extLst>
                <a:ext uri="{63B3BB69-23CF-44E3-9099-C40C66FF867C}">
                  <a14:compatExt spid="_x0000_s11329"/>
                </a:ext>
                <a:ext uri="{FF2B5EF4-FFF2-40B4-BE49-F238E27FC236}">
                  <a16:creationId xmlns:a16="http://schemas.microsoft.com/office/drawing/2014/main" id="{00000000-0008-0000-0400-00004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304800</xdr:colOff>
          <xdr:row>32</xdr:row>
          <xdr:rowOff>47625</xdr:rowOff>
        </xdr:from>
        <xdr:to>
          <xdr:col>6</xdr:col>
          <xdr:colOff>800100</xdr:colOff>
          <xdr:row>32</xdr:row>
          <xdr:rowOff>381000</xdr:rowOff>
        </xdr:to>
        <xdr:sp macro="" textlink="">
          <xdr:nvSpPr>
            <xdr:cNvPr id="11332" name="Option Button 68" hidden="1">
              <a:extLst>
                <a:ext uri="{63B3BB69-23CF-44E3-9099-C40C66FF867C}">
                  <a14:compatExt spid="_x0000_s11332"/>
                </a:ext>
                <a:ext uri="{FF2B5EF4-FFF2-40B4-BE49-F238E27FC236}">
                  <a16:creationId xmlns:a16="http://schemas.microsoft.com/office/drawing/2014/main" id="{00000000-0008-0000-0400-00004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33</xdr:row>
          <xdr:rowOff>0</xdr:rowOff>
        </xdr:from>
        <xdr:to>
          <xdr:col>6</xdr:col>
          <xdr:colOff>876300</xdr:colOff>
          <xdr:row>33</xdr:row>
          <xdr:rowOff>314325</xdr:rowOff>
        </xdr:to>
        <xdr:sp macro="" textlink="">
          <xdr:nvSpPr>
            <xdr:cNvPr id="11333" name="Group Box 69" hidden="1">
              <a:extLst>
                <a:ext uri="{63B3BB69-23CF-44E3-9099-C40C66FF867C}">
                  <a14:compatExt spid="_x0000_s11333"/>
                </a:ext>
                <a:ext uri="{FF2B5EF4-FFF2-40B4-BE49-F238E27FC236}">
                  <a16:creationId xmlns:a16="http://schemas.microsoft.com/office/drawing/2014/main" id="{00000000-0008-0000-0400-0000452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295275</xdr:colOff>
          <xdr:row>33</xdr:row>
          <xdr:rowOff>38100</xdr:rowOff>
        </xdr:from>
        <xdr:to>
          <xdr:col>2</xdr:col>
          <xdr:colOff>847725</xdr:colOff>
          <xdr:row>33</xdr:row>
          <xdr:rowOff>266700</xdr:rowOff>
        </xdr:to>
        <xdr:sp macro="" textlink="">
          <xdr:nvSpPr>
            <xdr:cNvPr id="11334" name="Option Button 70" hidden="1">
              <a:extLst>
                <a:ext uri="{63B3BB69-23CF-44E3-9099-C40C66FF867C}">
                  <a14:compatExt spid="_x0000_s11334"/>
                </a:ext>
                <a:ext uri="{FF2B5EF4-FFF2-40B4-BE49-F238E27FC236}">
                  <a16:creationId xmlns:a16="http://schemas.microsoft.com/office/drawing/2014/main" id="{00000000-0008-0000-0400-00004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33</xdr:row>
          <xdr:rowOff>47625</xdr:rowOff>
        </xdr:from>
        <xdr:to>
          <xdr:col>3</xdr:col>
          <xdr:colOff>800100</xdr:colOff>
          <xdr:row>33</xdr:row>
          <xdr:rowOff>295275</xdr:rowOff>
        </xdr:to>
        <xdr:sp macro="" textlink="">
          <xdr:nvSpPr>
            <xdr:cNvPr id="11335" name="Option Button 71" hidden="1">
              <a:extLst>
                <a:ext uri="{63B3BB69-23CF-44E3-9099-C40C66FF867C}">
                  <a14:compatExt spid="_x0000_s11335"/>
                </a:ext>
                <a:ext uri="{FF2B5EF4-FFF2-40B4-BE49-F238E27FC236}">
                  <a16:creationId xmlns:a16="http://schemas.microsoft.com/office/drawing/2014/main" id="{00000000-0008-0000-0400-00004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257175</xdr:colOff>
          <xdr:row>33</xdr:row>
          <xdr:rowOff>38100</xdr:rowOff>
        </xdr:from>
        <xdr:to>
          <xdr:col>4</xdr:col>
          <xdr:colOff>809625</xdr:colOff>
          <xdr:row>33</xdr:row>
          <xdr:rowOff>276225</xdr:rowOff>
        </xdr:to>
        <xdr:sp macro="" textlink="">
          <xdr:nvSpPr>
            <xdr:cNvPr id="11336" name="Option Button 72" hidden="1">
              <a:extLst>
                <a:ext uri="{63B3BB69-23CF-44E3-9099-C40C66FF867C}">
                  <a14:compatExt spid="_x0000_s11336"/>
                </a:ext>
                <a:ext uri="{FF2B5EF4-FFF2-40B4-BE49-F238E27FC236}">
                  <a16:creationId xmlns:a16="http://schemas.microsoft.com/office/drawing/2014/main" id="{00000000-0008-0000-0400-00004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295275</xdr:colOff>
          <xdr:row>33</xdr:row>
          <xdr:rowOff>47625</xdr:rowOff>
        </xdr:from>
        <xdr:to>
          <xdr:col>5</xdr:col>
          <xdr:colOff>828675</xdr:colOff>
          <xdr:row>33</xdr:row>
          <xdr:rowOff>276225</xdr:rowOff>
        </xdr:to>
        <xdr:sp macro="" textlink="">
          <xdr:nvSpPr>
            <xdr:cNvPr id="11337" name="Option Button 73" hidden="1">
              <a:extLst>
                <a:ext uri="{63B3BB69-23CF-44E3-9099-C40C66FF867C}">
                  <a14:compatExt spid="_x0000_s11337"/>
                </a:ext>
                <a:ext uri="{FF2B5EF4-FFF2-40B4-BE49-F238E27FC236}">
                  <a16:creationId xmlns:a16="http://schemas.microsoft.com/office/drawing/2014/main" id="{00000000-0008-0000-0400-00004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304800</xdr:colOff>
          <xdr:row>33</xdr:row>
          <xdr:rowOff>38100</xdr:rowOff>
        </xdr:from>
        <xdr:to>
          <xdr:col>6</xdr:col>
          <xdr:colOff>809625</xdr:colOff>
          <xdr:row>33</xdr:row>
          <xdr:rowOff>295275</xdr:rowOff>
        </xdr:to>
        <xdr:sp macro="" textlink="">
          <xdr:nvSpPr>
            <xdr:cNvPr id="11338" name="Option Button 74" hidden="1">
              <a:extLst>
                <a:ext uri="{63B3BB69-23CF-44E3-9099-C40C66FF867C}">
                  <a14:compatExt spid="_x0000_s11338"/>
                </a:ext>
                <a:ext uri="{FF2B5EF4-FFF2-40B4-BE49-F238E27FC236}">
                  <a16:creationId xmlns:a16="http://schemas.microsoft.com/office/drawing/2014/main" id="{00000000-0008-0000-0400-00004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34</xdr:row>
          <xdr:rowOff>0</xdr:rowOff>
        </xdr:from>
        <xdr:to>
          <xdr:col>6</xdr:col>
          <xdr:colOff>876300</xdr:colOff>
          <xdr:row>35</xdr:row>
          <xdr:rowOff>9525</xdr:rowOff>
        </xdr:to>
        <xdr:sp macro="" textlink="">
          <xdr:nvSpPr>
            <xdr:cNvPr id="11339" name="Group Box 75" hidden="1">
              <a:extLst>
                <a:ext uri="{63B3BB69-23CF-44E3-9099-C40C66FF867C}">
                  <a14:compatExt spid="_x0000_s11339"/>
                </a:ext>
                <a:ext uri="{FF2B5EF4-FFF2-40B4-BE49-F238E27FC236}">
                  <a16:creationId xmlns:a16="http://schemas.microsoft.com/office/drawing/2014/main" id="{00000000-0008-0000-0400-00004B2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295275</xdr:colOff>
          <xdr:row>34</xdr:row>
          <xdr:rowOff>66675</xdr:rowOff>
        </xdr:from>
        <xdr:to>
          <xdr:col>2</xdr:col>
          <xdr:colOff>723900</xdr:colOff>
          <xdr:row>34</xdr:row>
          <xdr:rowOff>447675</xdr:rowOff>
        </xdr:to>
        <xdr:sp macro="" textlink="">
          <xdr:nvSpPr>
            <xdr:cNvPr id="11340" name="Option Button 76" hidden="1">
              <a:extLst>
                <a:ext uri="{63B3BB69-23CF-44E3-9099-C40C66FF867C}">
                  <a14:compatExt spid="_x0000_s11340"/>
                </a:ext>
                <a:ext uri="{FF2B5EF4-FFF2-40B4-BE49-F238E27FC236}">
                  <a16:creationId xmlns:a16="http://schemas.microsoft.com/office/drawing/2014/main" id="{00000000-0008-0000-0400-00004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34</xdr:row>
          <xdr:rowOff>76200</xdr:rowOff>
        </xdr:from>
        <xdr:to>
          <xdr:col>3</xdr:col>
          <xdr:colOff>752475</xdr:colOff>
          <xdr:row>34</xdr:row>
          <xdr:rowOff>409575</xdr:rowOff>
        </xdr:to>
        <xdr:sp macro="" textlink="">
          <xdr:nvSpPr>
            <xdr:cNvPr id="11341" name="Option Button 77" hidden="1">
              <a:extLst>
                <a:ext uri="{63B3BB69-23CF-44E3-9099-C40C66FF867C}">
                  <a14:compatExt spid="_x0000_s11341"/>
                </a:ext>
                <a:ext uri="{FF2B5EF4-FFF2-40B4-BE49-F238E27FC236}">
                  <a16:creationId xmlns:a16="http://schemas.microsoft.com/office/drawing/2014/main" id="{00000000-0008-0000-0400-00004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34</xdr:row>
          <xdr:rowOff>76200</xdr:rowOff>
        </xdr:from>
        <xdr:to>
          <xdr:col>4</xdr:col>
          <xdr:colOff>752475</xdr:colOff>
          <xdr:row>34</xdr:row>
          <xdr:rowOff>419100</xdr:rowOff>
        </xdr:to>
        <xdr:sp macro="" textlink="">
          <xdr:nvSpPr>
            <xdr:cNvPr id="11342" name="Option Button 78" hidden="1">
              <a:extLst>
                <a:ext uri="{63B3BB69-23CF-44E3-9099-C40C66FF867C}">
                  <a14:compatExt spid="_x0000_s11342"/>
                </a:ext>
                <a:ext uri="{FF2B5EF4-FFF2-40B4-BE49-F238E27FC236}">
                  <a16:creationId xmlns:a16="http://schemas.microsoft.com/office/drawing/2014/main" id="{00000000-0008-0000-0400-00004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295275</xdr:colOff>
          <xdr:row>34</xdr:row>
          <xdr:rowOff>47625</xdr:rowOff>
        </xdr:from>
        <xdr:to>
          <xdr:col>5</xdr:col>
          <xdr:colOff>752475</xdr:colOff>
          <xdr:row>34</xdr:row>
          <xdr:rowOff>428625</xdr:rowOff>
        </xdr:to>
        <xdr:sp macro="" textlink="">
          <xdr:nvSpPr>
            <xdr:cNvPr id="11343" name="Option Button 79" hidden="1">
              <a:extLst>
                <a:ext uri="{63B3BB69-23CF-44E3-9099-C40C66FF867C}">
                  <a14:compatExt spid="_x0000_s11343"/>
                </a:ext>
                <a:ext uri="{FF2B5EF4-FFF2-40B4-BE49-F238E27FC236}">
                  <a16:creationId xmlns:a16="http://schemas.microsoft.com/office/drawing/2014/main" id="{00000000-0008-0000-0400-00004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304800</xdr:colOff>
          <xdr:row>34</xdr:row>
          <xdr:rowOff>47625</xdr:rowOff>
        </xdr:from>
        <xdr:to>
          <xdr:col>6</xdr:col>
          <xdr:colOff>733425</xdr:colOff>
          <xdr:row>34</xdr:row>
          <xdr:rowOff>428625</xdr:rowOff>
        </xdr:to>
        <xdr:sp macro="" textlink="">
          <xdr:nvSpPr>
            <xdr:cNvPr id="11344" name="Option Button 80" hidden="1">
              <a:extLst>
                <a:ext uri="{63B3BB69-23CF-44E3-9099-C40C66FF867C}">
                  <a14:compatExt spid="_x0000_s11344"/>
                </a:ext>
                <a:ext uri="{FF2B5EF4-FFF2-40B4-BE49-F238E27FC236}">
                  <a16:creationId xmlns:a16="http://schemas.microsoft.com/office/drawing/2014/main" id="{00000000-0008-0000-0400-00005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35</xdr:row>
          <xdr:rowOff>0</xdr:rowOff>
        </xdr:from>
        <xdr:to>
          <xdr:col>6</xdr:col>
          <xdr:colOff>885825</xdr:colOff>
          <xdr:row>35</xdr:row>
          <xdr:rowOff>571500</xdr:rowOff>
        </xdr:to>
        <xdr:sp macro="" textlink="">
          <xdr:nvSpPr>
            <xdr:cNvPr id="11345" name="Group Box 81" hidden="1">
              <a:extLst>
                <a:ext uri="{63B3BB69-23CF-44E3-9099-C40C66FF867C}">
                  <a14:compatExt spid="_x0000_s11345"/>
                </a:ext>
                <a:ext uri="{FF2B5EF4-FFF2-40B4-BE49-F238E27FC236}">
                  <a16:creationId xmlns:a16="http://schemas.microsoft.com/office/drawing/2014/main" id="{00000000-0008-0000-0400-0000512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295275</xdr:colOff>
          <xdr:row>35</xdr:row>
          <xdr:rowOff>123825</xdr:rowOff>
        </xdr:from>
        <xdr:to>
          <xdr:col>2</xdr:col>
          <xdr:colOff>790575</xdr:colOff>
          <xdr:row>35</xdr:row>
          <xdr:rowOff>495300</xdr:rowOff>
        </xdr:to>
        <xdr:sp macro="" textlink="">
          <xdr:nvSpPr>
            <xdr:cNvPr id="11346" name="Option Button 82" hidden="1">
              <a:extLst>
                <a:ext uri="{63B3BB69-23CF-44E3-9099-C40C66FF867C}">
                  <a14:compatExt spid="_x0000_s11346"/>
                </a:ext>
                <a:ext uri="{FF2B5EF4-FFF2-40B4-BE49-F238E27FC236}">
                  <a16:creationId xmlns:a16="http://schemas.microsoft.com/office/drawing/2014/main" id="{00000000-0008-0000-0400-00005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35</xdr:row>
          <xdr:rowOff>123825</xdr:rowOff>
        </xdr:from>
        <xdr:to>
          <xdr:col>3</xdr:col>
          <xdr:colOff>838200</xdr:colOff>
          <xdr:row>35</xdr:row>
          <xdr:rowOff>504825</xdr:rowOff>
        </xdr:to>
        <xdr:sp macro="" textlink="">
          <xdr:nvSpPr>
            <xdr:cNvPr id="11347" name="Option Button 83" hidden="1">
              <a:extLst>
                <a:ext uri="{63B3BB69-23CF-44E3-9099-C40C66FF867C}">
                  <a14:compatExt spid="_x0000_s11347"/>
                </a:ext>
                <a:ext uri="{FF2B5EF4-FFF2-40B4-BE49-F238E27FC236}">
                  <a16:creationId xmlns:a16="http://schemas.microsoft.com/office/drawing/2014/main" id="{00000000-0008-0000-0400-00005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35</xdr:row>
          <xdr:rowOff>142875</xdr:rowOff>
        </xdr:from>
        <xdr:to>
          <xdr:col>4</xdr:col>
          <xdr:colOff>762000</xdr:colOff>
          <xdr:row>35</xdr:row>
          <xdr:rowOff>504825</xdr:rowOff>
        </xdr:to>
        <xdr:sp macro="" textlink="">
          <xdr:nvSpPr>
            <xdr:cNvPr id="11348" name="Option Button 84" hidden="1">
              <a:extLst>
                <a:ext uri="{63B3BB69-23CF-44E3-9099-C40C66FF867C}">
                  <a14:compatExt spid="_x0000_s11348"/>
                </a:ext>
                <a:ext uri="{FF2B5EF4-FFF2-40B4-BE49-F238E27FC236}">
                  <a16:creationId xmlns:a16="http://schemas.microsoft.com/office/drawing/2014/main" id="{00000000-0008-0000-0400-00005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304800</xdr:colOff>
          <xdr:row>35</xdr:row>
          <xdr:rowOff>142875</xdr:rowOff>
        </xdr:from>
        <xdr:to>
          <xdr:col>5</xdr:col>
          <xdr:colOff>771525</xdr:colOff>
          <xdr:row>35</xdr:row>
          <xdr:rowOff>504825</xdr:rowOff>
        </xdr:to>
        <xdr:sp macro="" textlink="">
          <xdr:nvSpPr>
            <xdr:cNvPr id="11349" name="Option Button 85" hidden="1">
              <a:extLst>
                <a:ext uri="{63B3BB69-23CF-44E3-9099-C40C66FF867C}">
                  <a14:compatExt spid="_x0000_s11349"/>
                </a:ext>
                <a:ext uri="{FF2B5EF4-FFF2-40B4-BE49-F238E27FC236}">
                  <a16:creationId xmlns:a16="http://schemas.microsoft.com/office/drawing/2014/main" id="{00000000-0008-0000-0400-00005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314325</xdr:colOff>
          <xdr:row>35</xdr:row>
          <xdr:rowOff>142875</xdr:rowOff>
        </xdr:from>
        <xdr:to>
          <xdr:col>6</xdr:col>
          <xdr:colOff>800100</xdr:colOff>
          <xdr:row>35</xdr:row>
          <xdr:rowOff>504825</xdr:rowOff>
        </xdr:to>
        <xdr:sp macro="" textlink="">
          <xdr:nvSpPr>
            <xdr:cNvPr id="11350" name="Option Button 86" hidden="1">
              <a:extLst>
                <a:ext uri="{63B3BB69-23CF-44E3-9099-C40C66FF867C}">
                  <a14:compatExt spid="_x0000_s11350"/>
                </a:ext>
                <a:ext uri="{FF2B5EF4-FFF2-40B4-BE49-F238E27FC236}">
                  <a16:creationId xmlns:a16="http://schemas.microsoft.com/office/drawing/2014/main" id="{00000000-0008-0000-0400-00005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4</xdr:row>
          <xdr:rowOff>0</xdr:rowOff>
        </xdr:from>
        <xdr:to>
          <xdr:col>1</xdr:col>
          <xdr:colOff>0</xdr:colOff>
          <xdr:row>5</xdr:row>
          <xdr:rowOff>66675</xdr:rowOff>
        </xdr:to>
        <xdr:sp macro="" textlink="">
          <xdr:nvSpPr>
            <xdr:cNvPr id="15362" name="Check Box 2" descr="Accelerated program&#10;" hidden="1">
              <a:extLst>
                <a:ext uri="{63B3BB69-23CF-44E3-9099-C40C66FF867C}">
                  <a14:compatExt spid="_x0000_s15362"/>
                </a:ext>
                <a:ext uri="{FF2B5EF4-FFF2-40B4-BE49-F238E27FC236}">
                  <a16:creationId xmlns:a16="http://schemas.microsoft.com/office/drawing/2014/main" id="{00000000-0008-0000-0500-000002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5</xdr:row>
          <xdr:rowOff>38100</xdr:rowOff>
        </xdr:from>
        <xdr:to>
          <xdr:col>1</xdr:col>
          <xdr:colOff>28575</xdr:colOff>
          <xdr:row>5</xdr:row>
          <xdr:rowOff>266700</xdr:rowOff>
        </xdr:to>
        <xdr:sp macro="" textlink="">
          <xdr:nvSpPr>
            <xdr:cNvPr id="15363" name="Check Box 3" hidden="1">
              <a:extLst>
                <a:ext uri="{63B3BB69-23CF-44E3-9099-C40C66FF867C}">
                  <a14:compatExt spid="_x0000_s15363"/>
                </a:ext>
                <a:ext uri="{FF2B5EF4-FFF2-40B4-BE49-F238E27FC236}">
                  <a16:creationId xmlns:a16="http://schemas.microsoft.com/office/drawing/2014/main" id="{00000000-0008-0000-0500-000003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5</xdr:row>
          <xdr:rowOff>295275</xdr:rowOff>
        </xdr:from>
        <xdr:to>
          <xdr:col>1</xdr:col>
          <xdr:colOff>0</xdr:colOff>
          <xdr:row>7</xdr:row>
          <xdr:rowOff>28575</xdr:rowOff>
        </xdr:to>
        <xdr:sp macro="" textlink="">
          <xdr:nvSpPr>
            <xdr:cNvPr id="15364" name="Check Box 4" descr="Cross-registration" hidden="1">
              <a:extLst>
                <a:ext uri="{63B3BB69-23CF-44E3-9099-C40C66FF867C}">
                  <a14:compatExt spid="_x0000_s15364"/>
                </a:ext>
                <a:ext uri="{FF2B5EF4-FFF2-40B4-BE49-F238E27FC236}">
                  <a16:creationId xmlns:a16="http://schemas.microsoft.com/office/drawing/2014/main" id="{00000000-0008-0000-0500-000004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6</xdr:row>
          <xdr:rowOff>142875</xdr:rowOff>
        </xdr:from>
        <xdr:to>
          <xdr:col>1</xdr:col>
          <xdr:colOff>9525</xdr:colOff>
          <xdr:row>8</xdr:row>
          <xdr:rowOff>38100</xdr:rowOff>
        </xdr:to>
        <xdr:sp macro="" textlink="">
          <xdr:nvSpPr>
            <xdr:cNvPr id="15365" name="Check Box 5" descr="Distance learning" hidden="1">
              <a:extLst>
                <a:ext uri="{63B3BB69-23CF-44E3-9099-C40C66FF867C}">
                  <a14:compatExt spid="_x0000_s15365"/>
                </a:ext>
                <a:ext uri="{FF2B5EF4-FFF2-40B4-BE49-F238E27FC236}">
                  <a16:creationId xmlns:a16="http://schemas.microsoft.com/office/drawing/2014/main" id="{00000000-0008-0000-0500-000005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7</xdr:row>
          <xdr:rowOff>123825</xdr:rowOff>
        </xdr:from>
        <xdr:to>
          <xdr:col>1</xdr:col>
          <xdr:colOff>0</xdr:colOff>
          <xdr:row>9</xdr:row>
          <xdr:rowOff>38100</xdr:rowOff>
        </xdr:to>
        <xdr:sp macro="" textlink="">
          <xdr:nvSpPr>
            <xdr:cNvPr id="15366" name="Check Box 6" descr="Double major" hidden="1">
              <a:extLst>
                <a:ext uri="{63B3BB69-23CF-44E3-9099-C40C66FF867C}">
                  <a14:compatExt spid="_x0000_s15366"/>
                </a:ext>
                <a:ext uri="{FF2B5EF4-FFF2-40B4-BE49-F238E27FC236}">
                  <a16:creationId xmlns:a16="http://schemas.microsoft.com/office/drawing/2014/main" id="{00000000-0008-0000-0500-000006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8</xdr:row>
          <xdr:rowOff>142875</xdr:rowOff>
        </xdr:from>
        <xdr:to>
          <xdr:col>1</xdr:col>
          <xdr:colOff>38100</xdr:colOff>
          <xdr:row>10</xdr:row>
          <xdr:rowOff>28575</xdr:rowOff>
        </xdr:to>
        <xdr:sp macro="" textlink="">
          <xdr:nvSpPr>
            <xdr:cNvPr id="15367" name="Check Box 7" descr="Dual enrollment" hidden="1">
              <a:extLst>
                <a:ext uri="{63B3BB69-23CF-44E3-9099-C40C66FF867C}">
                  <a14:compatExt spid="_x0000_s15367"/>
                </a:ext>
                <a:ext uri="{FF2B5EF4-FFF2-40B4-BE49-F238E27FC236}">
                  <a16:creationId xmlns:a16="http://schemas.microsoft.com/office/drawing/2014/main" id="{00000000-0008-0000-0500-000007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9</xdr:row>
          <xdr:rowOff>123825</xdr:rowOff>
        </xdr:from>
        <xdr:to>
          <xdr:col>1</xdr:col>
          <xdr:colOff>85725</xdr:colOff>
          <xdr:row>11</xdr:row>
          <xdr:rowOff>47625</xdr:rowOff>
        </xdr:to>
        <xdr:sp macro="" textlink="">
          <xdr:nvSpPr>
            <xdr:cNvPr id="15368" name="Check Box 8" descr="English as a Second Language (ESL)" hidden="1">
              <a:extLst>
                <a:ext uri="{63B3BB69-23CF-44E3-9099-C40C66FF867C}">
                  <a14:compatExt spid="_x0000_s15368"/>
                </a:ext>
                <a:ext uri="{FF2B5EF4-FFF2-40B4-BE49-F238E27FC236}">
                  <a16:creationId xmlns:a16="http://schemas.microsoft.com/office/drawing/2014/main" id="{00000000-0008-0000-0500-000008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10</xdr:row>
          <xdr:rowOff>142875</xdr:rowOff>
        </xdr:from>
        <xdr:to>
          <xdr:col>1</xdr:col>
          <xdr:colOff>28575</xdr:colOff>
          <xdr:row>12</xdr:row>
          <xdr:rowOff>38100</xdr:rowOff>
        </xdr:to>
        <xdr:sp macro="" textlink="">
          <xdr:nvSpPr>
            <xdr:cNvPr id="15369" name="Check Box 9" descr="Exchange student program (domestic)" hidden="1">
              <a:extLst>
                <a:ext uri="{63B3BB69-23CF-44E3-9099-C40C66FF867C}">
                  <a14:compatExt spid="_x0000_s15369"/>
                </a:ext>
                <a:ext uri="{FF2B5EF4-FFF2-40B4-BE49-F238E27FC236}">
                  <a16:creationId xmlns:a16="http://schemas.microsoft.com/office/drawing/2014/main" id="{00000000-0008-0000-0500-000009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76200</xdr:colOff>
          <xdr:row>11</xdr:row>
          <xdr:rowOff>123825</xdr:rowOff>
        </xdr:from>
        <xdr:to>
          <xdr:col>1</xdr:col>
          <xdr:colOff>114300</xdr:colOff>
          <xdr:row>13</xdr:row>
          <xdr:rowOff>47625</xdr:rowOff>
        </xdr:to>
        <xdr:sp macro="" textlink="">
          <xdr:nvSpPr>
            <xdr:cNvPr id="15370" name="Check Box 10" hidden="1">
              <a:extLst>
                <a:ext uri="{63B3BB69-23CF-44E3-9099-C40C66FF867C}">
                  <a14:compatExt spid="_x0000_s15370"/>
                </a:ext>
                <a:ext uri="{FF2B5EF4-FFF2-40B4-BE49-F238E27FC236}">
                  <a16:creationId xmlns:a16="http://schemas.microsoft.com/office/drawing/2014/main" id="{00000000-0008-0000-0500-00000A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12</xdr:row>
          <xdr:rowOff>123825</xdr:rowOff>
        </xdr:from>
        <xdr:to>
          <xdr:col>1</xdr:col>
          <xdr:colOff>114300</xdr:colOff>
          <xdr:row>14</xdr:row>
          <xdr:rowOff>38100</xdr:rowOff>
        </xdr:to>
        <xdr:sp macro="" textlink="">
          <xdr:nvSpPr>
            <xdr:cNvPr id="15371" name="Check Box 11" hidden="1">
              <a:extLst>
                <a:ext uri="{63B3BB69-23CF-44E3-9099-C40C66FF867C}">
                  <a14:compatExt spid="_x0000_s15371"/>
                </a:ext>
                <a:ext uri="{FF2B5EF4-FFF2-40B4-BE49-F238E27FC236}">
                  <a16:creationId xmlns:a16="http://schemas.microsoft.com/office/drawing/2014/main" id="{00000000-0008-0000-0500-00000B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13</xdr:row>
          <xdr:rowOff>123825</xdr:rowOff>
        </xdr:from>
        <xdr:to>
          <xdr:col>1</xdr:col>
          <xdr:colOff>0</xdr:colOff>
          <xdr:row>15</xdr:row>
          <xdr:rowOff>28575</xdr:rowOff>
        </xdr:to>
        <xdr:sp macro="" textlink="">
          <xdr:nvSpPr>
            <xdr:cNvPr id="15372" name="Check Box 12" hidden="1">
              <a:extLst>
                <a:ext uri="{63B3BB69-23CF-44E3-9099-C40C66FF867C}">
                  <a14:compatExt spid="_x0000_s15372"/>
                </a:ext>
                <a:ext uri="{FF2B5EF4-FFF2-40B4-BE49-F238E27FC236}">
                  <a16:creationId xmlns:a16="http://schemas.microsoft.com/office/drawing/2014/main" id="{00000000-0008-0000-0500-00000C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14</xdr:row>
          <xdr:rowOff>123825</xdr:rowOff>
        </xdr:from>
        <xdr:to>
          <xdr:col>1</xdr:col>
          <xdr:colOff>38100</xdr:colOff>
          <xdr:row>16</xdr:row>
          <xdr:rowOff>28575</xdr:rowOff>
        </xdr:to>
        <xdr:sp macro="" textlink="">
          <xdr:nvSpPr>
            <xdr:cNvPr id="15373" name="Check Box 13" hidden="1">
              <a:extLst>
                <a:ext uri="{63B3BB69-23CF-44E3-9099-C40C66FF867C}">
                  <a14:compatExt spid="_x0000_s15373"/>
                </a:ext>
                <a:ext uri="{FF2B5EF4-FFF2-40B4-BE49-F238E27FC236}">
                  <a16:creationId xmlns:a16="http://schemas.microsoft.com/office/drawing/2014/main" id="{00000000-0008-0000-0500-00000D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15</xdr:row>
          <xdr:rowOff>123825</xdr:rowOff>
        </xdr:from>
        <xdr:to>
          <xdr:col>1</xdr:col>
          <xdr:colOff>85725</xdr:colOff>
          <xdr:row>17</xdr:row>
          <xdr:rowOff>28575</xdr:rowOff>
        </xdr:to>
        <xdr:sp macro="" textlink="">
          <xdr:nvSpPr>
            <xdr:cNvPr id="15374" name="Check Box 14" hidden="1">
              <a:extLst>
                <a:ext uri="{63B3BB69-23CF-44E3-9099-C40C66FF867C}">
                  <a14:compatExt spid="_x0000_s15374"/>
                </a:ext>
                <a:ext uri="{FF2B5EF4-FFF2-40B4-BE49-F238E27FC236}">
                  <a16:creationId xmlns:a16="http://schemas.microsoft.com/office/drawing/2014/main" id="{00000000-0008-0000-0500-00000E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16</xdr:row>
          <xdr:rowOff>123825</xdr:rowOff>
        </xdr:from>
        <xdr:to>
          <xdr:col>1</xdr:col>
          <xdr:colOff>38100</xdr:colOff>
          <xdr:row>18</xdr:row>
          <xdr:rowOff>38100</xdr:rowOff>
        </xdr:to>
        <xdr:sp macro="" textlink="">
          <xdr:nvSpPr>
            <xdr:cNvPr id="15375" name="Check Box 15" hidden="1">
              <a:extLst>
                <a:ext uri="{63B3BB69-23CF-44E3-9099-C40C66FF867C}">
                  <a14:compatExt spid="_x0000_s15375"/>
                </a:ext>
                <a:ext uri="{FF2B5EF4-FFF2-40B4-BE49-F238E27FC236}">
                  <a16:creationId xmlns:a16="http://schemas.microsoft.com/office/drawing/2014/main" id="{00000000-0008-0000-0500-00000F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17</xdr:row>
          <xdr:rowOff>142875</xdr:rowOff>
        </xdr:from>
        <xdr:to>
          <xdr:col>1</xdr:col>
          <xdr:colOff>28575</xdr:colOff>
          <xdr:row>19</xdr:row>
          <xdr:rowOff>38100</xdr:rowOff>
        </xdr:to>
        <xdr:sp macro="" textlink="">
          <xdr:nvSpPr>
            <xdr:cNvPr id="15376" name="Check Box 16" hidden="1">
              <a:extLst>
                <a:ext uri="{63B3BB69-23CF-44E3-9099-C40C66FF867C}">
                  <a14:compatExt spid="_x0000_s15376"/>
                </a:ext>
                <a:ext uri="{FF2B5EF4-FFF2-40B4-BE49-F238E27FC236}">
                  <a16:creationId xmlns:a16="http://schemas.microsoft.com/office/drawing/2014/main" id="{00000000-0008-0000-0500-000010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18</xdr:row>
          <xdr:rowOff>123825</xdr:rowOff>
        </xdr:from>
        <xdr:to>
          <xdr:col>1</xdr:col>
          <xdr:colOff>76200</xdr:colOff>
          <xdr:row>20</xdr:row>
          <xdr:rowOff>38100</xdr:rowOff>
        </xdr:to>
        <xdr:sp macro="" textlink="">
          <xdr:nvSpPr>
            <xdr:cNvPr id="15377" name="Check Box 17" hidden="1">
              <a:extLst>
                <a:ext uri="{63B3BB69-23CF-44E3-9099-C40C66FF867C}">
                  <a14:compatExt spid="_x0000_s15377"/>
                </a:ext>
                <a:ext uri="{FF2B5EF4-FFF2-40B4-BE49-F238E27FC236}">
                  <a16:creationId xmlns:a16="http://schemas.microsoft.com/office/drawing/2014/main" id="{00000000-0008-0000-0500-000011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19</xdr:row>
          <xdr:rowOff>142875</xdr:rowOff>
        </xdr:from>
        <xdr:to>
          <xdr:col>1</xdr:col>
          <xdr:colOff>190500</xdr:colOff>
          <xdr:row>21</xdr:row>
          <xdr:rowOff>38100</xdr:rowOff>
        </xdr:to>
        <xdr:sp macro="" textlink="">
          <xdr:nvSpPr>
            <xdr:cNvPr id="15378" name="Check Box 18" hidden="1">
              <a:extLst>
                <a:ext uri="{63B3BB69-23CF-44E3-9099-C40C66FF867C}">
                  <a14:compatExt spid="_x0000_s15378"/>
                </a:ext>
                <a:ext uri="{FF2B5EF4-FFF2-40B4-BE49-F238E27FC236}">
                  <a16:creationId xmlns:a16="http://schemas.microsoft.com/office/drawing/2014/main" id="{00000000-0008-0000-0500-000012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21</xdr:row>
          <xdr:rowOff>152400</xdr:rowOff>
        </xdr:from>
        <xdr:to>
          <xdr:col>1</xdr:col>
          <xdr:colOff>28575</xdr:colOff>
          <xdr:row>23</xdr:row>
          <xdr:rowOff>47625</xdr:rowOff>
        </xdr:to>
        <xdr:sp macro="" textlink="">
          <xdr:nvSpPr>
            <xdr:cNvPr id="15379" name="Check Box 19" hidden="1">
              <a:extLst>
                <a:ext uri="{63B3BB69-23CF-44E3-9099-C40C66FF867C}">
                  <a14:compatExt spid="_x0000_s15379"/>
                </a:ext>
                <a:ext uri="{FF2B5EF4-FFF2-40B4-BE49-F238E27FC236}">
                  <a16:creationId xmlns:a16="http://schemas.microsoft.com/office/drawing/2014/main" id="{00000000-0008-0000-0500-000013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27</xdr:row>
          <xdr:rowOff>381000</xdr:rowOff>
        </xdr:from>
        <xdr:to>
          <xdr:col>1</xdr:col>
          <xdr:colOff>1676400</xdr:colOff>
          <xdr:row>29</xdr:row>
          <xdr:rowOff>9525</xdr:rowOff>
        </xdr:to>
        <xdr:sp macro="" textlink="">
          <xdr:nvSpPr>
            <xdr:cNvPr id="15380" name="Check Box 20" hidden="1">
              <a:extLst>
                <a:ext uri="{63B3BB69-23CF-44E3-9099-C40C66FF867C}">
                  <a14:compatExt spid="_x0000_s15380"/>
                </a:ext>
                <a:ext uri="{FF2B5EF4-FFF2-40B4-BE49-F238E27FC236}">
                  <a16:creationId xmlns:a16="http://schemas.microsoft.com/office/drawing/2014/main" id="{00000000-0008-0000-0500-000014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28</xdr:row>
          <xdr:rowOff>142875</xdr:rowOff>
        </xdr:from>
        <xdr:to>
          <xdr:col>1</xdr:col>
          <xdr:colOff>38100</xdr:colOff>
          <xdr:row>30</xdr:row>
          <xdr:rowOff>38100</xdr:rowOff>
        </xdr:to>
        <xdr:sp macro="" textlink="">
          <xdr:nvSpPr>
            <xdr:cNvPr id="15381" name="Check Box 21" hidden="1">
              <a:extLst>
                <a:ext uri="{63B3BB69-23CF-44E3-9099-C40C66FF867C}">
                  <a14:compatExt spid="_x0000_s15381"/>
                </a:ext>
                <a:ext uri="{FF2B5EF4-FFF2-40B4-BE49-F238E27FC236}">
                  <a16:creationId xmlns:a16="http://schemas.microsoft.com/office/drawing/2014/main" id="{00000000-0008-0000-0500-000015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30</xdr:row>
          <xdr:rowOff>0</xdr:rowOff>
        </xdr:from>
        <xdr:to>
          <xdr:col>1</xdr:col>
          <xdr:colOff>1485900</xdr:colOff>
          <xdr:row>31</xdr:row>
          <xdr:rowOff>0</xdr:rowOff>
        </xdr:to>
        <xdr:sp macro="" textlink="">
          <xdr:nvSpPr>
            <xdr:cNvPr id="15382" name="Check Box 22" hidden="1">
              <a:extLst>
                <a:ext uri="{63B3BB69-23CF-44E3-9099-C40C66FF867C}">
                  <a14:compatExt spid="_x0000_s15382"/>
                </a:ext>
                <a:ext uri="{FF2B5EF4-FFF2-40B4-BE49-F238E27FC236}">
                  <a16:creationId xmlns:a16="http://schemas.microsoft.com/office/drawing/2014/main" id="{00000000-0008-0000-0500-000016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31</xdr:row>
          <xdr:rowOff>0</xdr:rowOff>
        </xdr:from>
        <xdr:to>
          <xdr:col>1</xdr:col>
          <xdr:colOff>1600200</xdr:colOff>
          <xdr:row>32</xdr:row>
          <xdr:rowOff>0</xdr:rowOff>
        </xdr:to>
        <xdr:sp macro="" textlink="">
          <xdr:nvSpPr>
            <xdr:cNvPr id="15383" name="Check Box 23" hidden="1">
              <a:extLst>
                <a:ext uri="{63B3BB69-23CF-44E3-9099-C40C66FF867C}">
                  <a14:compatExt spid="_x0000_s15383"/>
                </a:ext>
                <a:ext uri="{FF2B5EF4-FFF2-40B4-BE49-F238E27FC236}">
                  <a16:creationId xmlns:a16="http://schemas.microsoft.com/office/drawing/2014/main" id="{00000000-0008-0000-0500-000017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7432" rIns="0" bIns="27432" anchor="ctr" upright="1"/>
            <a:lstStyle/>
            <a:p>
              <a:pPr algn="l" rtl="0">
                <a:defRPr sz="1000"/>
              </a:pPr>
              <a:endParaRPr lang="en-US" sz="1200" b="0" i="0" u="none" strike="noStrike" baseline="0">
                <a:solidFill>
                  <a:srgbClr val="000000"/>
                </a:solidFill>
                <a:latin typeface="Calibri"/>
                <a:cs typeface="Calibri"/>
              </a:endParaRPr>
            </a:p>
            <a:p>
              <a:pPr algn="l" rtl="0">
                <a:defRPr sz="1000"/>
              </a:pPr>
              <a:endParaRPr lang="en-US" sz="1200" b="0" i="0" u="none" strike="noStrike" baseline="0">
                <a:solidFill>
                  <a:srgbClr val="000000"/>
                </a:solidFill>
                <a:latin typeface="Calibri"/>
                <a:cs typeface="Calibri"/>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32</xdr:row>
          <xdr:rowOff>0</xdr:rowOff>
        </xdr:from>
        <xdr:to>
          <xdr:col>1</xdr:col>
          <xdr:colOff>1552575</xdr:colOff>
          <xdr:row>33</xdr:row>
          <xdr:rowOff>0</xdr:rowOff>
        </xdr:to>
        <xdr:sp macro="" textlink="">
          <xdr:nvSpPr>
            <xdr:cNvPr id="15384" name="Check Box 24" hidden="1">
              <a:extLst>
                <a:ext uri="{63B3BB69-23CF-44E3-9099-C40C66FF867C}">
                  <a14:compatExt spid="_x0000_s15384"/>
                </a:ext>
                <a:ext uri="{FF2B5EF4-FFF2-40B4-BE49-F238E27FC236}">
                  <a16:creationId xmlns:a16="http://schemas.microsoft.com/office/drawing/2014/main" id="{00000000-0008-0000-0500-000018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33</xdr:row>
          <xdr:rowOff>0</xdr:rowOff>
        </xdr:from>
        <xdr:to>
          <xdr:col>1</xdr:col>
          <xdr:colOff>1066800</xdr:colOff>
          <xdr:row>34</xdr:row>
          <xdr:rowOff>0</xdr:rowOff>
        </xdr:to>
        <xdr:sp macro="" textlink="">
          <xdr:nvSpPr>
            <xdr:cNvPr id="15385" name="Check Box 25" hidden="1">
              <a:extLst>
                <a:ext uri="{63B3BB69-23CF-44E3-9099-C40C66FF867C}">
                  <a14:compatExt spid="_x0000_s15385"/>
                </a:ext>
                <a:ext uri="{FF2B5EF4-FFF2-40B4-BE49-F238E27FC236}">
                  <a16:creationId xmlns:a16="http://schemas.microsoft.com/office/drawing/2014/main" id="{00000000-0008-0000-0500-000019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35</xdr:row>
          <xdr:rowOff>0</xdr:rowOff>
        </xdr:from>
        <xdr:to>
          <xdr:col>1</xdr:col>
          <xdr:colOff>1819275</xdr:colOff>
          <xdr:row>36</xdr:row>
          <xdr:rowOff>0</xdr:rowOff>
        </xdr:to>
        <xdr:sp macro="" textlink="">
          <xdr:nvSpPr>
            <xdr:cNvPr id="15386" name="Check Box 26" hidden="1">
              <a:extLst>
                <a:ext uri="{63B3BB69-23CF-44E3-9099-C40C66FF867C}">
                  <a14:compatExt spid="_x0000_s15386"/>
                </a:ext>
                <a:ext uri="{FF2B5EF4-FFF2-40B4-BE49-F238E27FC236}">
                  <a16:creationId xmlns:a16="http://schemas.microsoft.com/office/drawing/2014/main" id="{00000000-0008-0000-0500-00001A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7432" rIns="0" bIns="27432" anchor="ctr" upright="1"/>
            <a:lstStyle/>
            <a:p>
              <a:pPr algn="l" rtl="0">
                <a:defRPr sz="1000"/>
              </a:pPr>
              <a:endParaRPr lang="en-US" sz="1200" b="0" i="0" u="none" strike="noStrike" baseline="0">
                <a:solidFill>
                  <a:srgbClr val="000000"/>
                </a:solidFill>
                <a:latin typeface="Calibri"/>
                <a:cs typeface="Calibri"/>
              </a:endParaRPr>
            </a:p>
            <a:p>
              <a:pPr algn="l" rtl="0">
                <a:defRPr sz="1000"/>
              </a:pPr>
              <a:endParaRPr lang="en-US" sz="1200" b="0" i="0" u="none" strike="noStrike" baseline="0">
                <a:solidFill>
                  <a:srgbClr val="000000"/>
                </a:solidFill>
                <a:latin typeface="Calibri"/>
                <a:cs typeface="Calibri"/>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36</xdr:row>
          <xdr:rowOff>0</xdr:rowOff>
        </xdr:from>
        <xdr:to>
          <xdr:col>1</xdr:col>
          <xdr:colOff>1371600</xdr:colOff>
          <xdr:row>37</xdr:row>
          <xdr:rowOff>0</xdr:rowOff>
        </xdr:to>
        <xdr:sp macro="" textlink="">
          <xdr:nvSpPr>
            <xdr:cNvPr id="15387" name="Check Box 27" hidden="1">
              <a:extLst>
                <a:ext uri="{63B3BB69-23CF-44E3-9099-C40C66FF867C}">
                  <a14:compatExt spid="_x0000_s15387"/>
                </a:ext>
                <a:ext uri="{FF2B5EF4-FFF2-40B4-BE49-F238E27FC236}">
                  <a16:creationId xmlns:a16="http://schemas.microsoft.com/office/drawing/2014/main" id="{00000000-0008-0000-0500-00001B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38</xdr:row>
          <xdr:rowOff>0</xdr:rowOff>
        </xdr:from>
        <xdr:to>
          <xdr:col>1</xdr:col>
          <xdr:colOff>2181225</xdr:colOff>
          <xdr:row>39</xdr:row>
          <xdr:rowOff>0</xdr:rowOff>
        </xdr:to>
        <xdr:sp macro="" textlink="">
          <xdr:nvSpPr>
            <xdr:cNvPr id="15388" name="Check Box 28" hidden="1">
              <a:extLst>
                <a:ext uri="{63B3BB69-23CF-44E3-9099-C40C66FF867C}">
                  <a14:compatExt spid="_x0000_s15388"/>
                </a:ext>
                <a:ext uri="{FF2B5EF4-FFF2-40B4-BE49-F238E27FC236}">
                  <a16:creationId xmlns:a16="http://schemas.microsoft.com/office/drawing/2014/main" id="{00000000-0008-0000-0500-00001C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39</xdr:row>
          <xdr:rowOff>0</xdr:rowOff>
        </xdr:from>
        <xdr:to>
          <xdr:col>1</xdr:col>
          <xdr:colOff>2447925</xdr:colOff>
          <xdr:row>40</xdr:row>
          <xdr:rowOff>0</xdr:rowOff>
        </xdr:to>
        <xdr:sp macro="" textlink="">
          <xdr:nvSpPr>
            <xdr:cNvPr id="15389" name="Check Box 29" hidden="1">
              <a:extLst>
                <a:ext uri="{63B3BB69-23CF-44E3-9099-C40C66FF867C}">
                  <a14:compatExt spid="_x0000_s15389"/>
                </a:ext>
                <a:ext uri="{FF2B5EF4-FFF2-40B4-BE49-F238E27FC236}">
                  <a16:creationId xmlns:a16="http://schemas.microsoft.com/office/drawing/2014/main" id="{00000000-0008-0000-0500-00001D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40</xdr:row>
          <xdr:rowOff>0</xdr:rowOff>
        </xdr:from>
        <xdr:to>
          <xdr:col>1</xdr:col>
          <xdr:colOff>2371725</xdr:colOff>
          <xdr:row>41</xdr:row>
          <xdr:rowOff>0</xdr:rowOff>
        </xdr:to>
        <xdr:sp macro="" textlink="">
          <xdr:nvSpPr>
            <xdr:cNvPr id="15390" name="Check Box 30" hidden="1">
              <a:extLst>
                <a:ext uri="{63B3BB69-23CF-44E3-9099-C40C66FF867C}">
                  <a14:compatExt spid="_x0000_s15390"/>
                </a:ext>
                <a:ext uri="{FF2B5EF4-FFF2-40B4-BE49-F238E27FC236}">
                  <a16:creationId xmlns:a16="http://schemas.microsoft.com/office/drawing/2014/main" id="{00000000-0008-0000-0500-00001E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20</xdr:row>
          <xdr:rowOff>161925</xdr:rowOff>
        </xdr:from>
        <xdr:to>
          <xdr:col>1</xdr:col>
          <xdr:colOff>66675</xdr:colOff>
          <xdr:row>22</xdr:row>
          <xdr:rowOff>38100</xdr:rowOff>
        </xdr:to>
        <xdr:sp macro="" textlink="">
          <xdr:nvSpPr>
            <xdr:cNvPr id="15391" name="Check Box 31" hidden="1">
              <a:extLst>
                <a:ext uri="{63B3BB69-23CF-44E3-9099-C40C66FF867C}">
                  <a14:compatExt spid="_x0000_s15391"/>
                </a:ext>
                <a:ext uri="{FF2B5EF4-FFF2-40B4-BE49-F238E27FC236}">
                  <a16:creationId xmlns:a16="http://schemas.microsoft.com/office/drawing/2014/main" id="{00000000-0008-0000-0500-00001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33</xdr:row>
          <xdr:rowOff>161925</xdr:rowOff>
        </xdr:from>
        <xdr:to>
          <xdr:col>1</xdr:col>
          <xdr:colOff>28575</xdr:colOff>
          <xdr:row>35</xdr:row>
          <xdr:rowOff>9525</xdr:rowOff>
        </xdr:to>
        <xdr:sp macro="" textlink="">
          <xdr:nvSpPr>
            <xdr:cNvPr id="15392" name="Check Box 32" hidden="1">
              <a:extLst>
                <a:ext uri="{63B3BB69-23CF-44E3-9099-C40C66FF867C}">
                  <a14:compatExt spid="_x0000_s15392"/>
                </a:ext>
                <a:ext uri="{FF2B5EF4-FFF2-40B4-BE49-F238E27FC236}">
                  <a16:creationId xmlns:a16="http://schemas.microsoft.com/office/drawing/2014/main" id="{00000000-0008-0000-0500-00002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37</xdr:row>
          <xdr:rowOff>0</xdr:rowOff>
        </xdr:from>
        <xdr:to>
          <xdr:col>0</xdr:col>
          <xdr:colOff>295275</xdr:colOff>
          <xdr:row>38</xdr:row>
          <xdr:rowOff>9525</xdr:rowOff>
        </xdr:to>
        <xdr:sp macro="" textlink="">
          <xdr:nvSpPr>
            <xdr:cNvPr id="15393" name="Check Box 33" hidden="1">
              <a:extLst>
                <a:ext uri="{63B3BB69-23CF-44E3-9099-C40C66FF867C}">
                  <a14:compatExt spid="_x0000_s15393"/>
                </a:ext>
                <a:ext uri="{FF2B5EF4-FFF2-40B4-BE49-F238E27FC236}">
                  <a16:creationId xmlns:a16="http://schemas.microsoft.com/office/drawing/2014/main" id="{00000000-0008-0000-0500-00002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15</xdr:row>
          <xdr:rowOff>9525</xdr:rowOff>
        </xdr:from>
        <xdr:to>
          <xdr:col>1</xdr:col>
          <xdr:colOff>9525</xdr:colOff>
          <xdr:row>16</xdr:row>
          <xdr:rowOff>9525</xdr:rowOff>
        </xdr:to>
        <xdr:sp macro="" textlink="">
          <xdr:nvSpPr>
            <xdr:cNvPr id="17409" name="Check Box 1" hidden="1">
              <a:extLst>
                <a:ext uri="{63B3BB69-23CF-44E3-9099-C40C66FF867C}">
                  <a14:compatExt spid="_x0000_s17409"/>
                </a:ext>
                <a:ext uri="{FF2B5EF4-FFF2-40B4-BE49-F238E27FC236}">
                  <a16:creationId xmlns:a16="http://schemas.microsoft.com/office/drawing/2014/main" id="{00000000-0008-0000-0600-000001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16</xdr:row>
          <xdr:rowOff>28575</xdr:rowOff>
        </xdr:from>
        <xdr:to>
          <xdr:col>0</xdr:col>
          <xdr:colOff>228600</xdr:colOff>
          <xdr:row>16</xdr:row>
          <xdr:rowOff>190500</xdr:rowOff>
        </xdr:to>
        <xdr:sp macro="" textlink="">
          <xdr:nvSpPr>
            <xdr:cNvPr id="17410" name="Check Box 2" descr="Choral groups" hidden="1">
              <a:extLst>
                <a:ext uri="{63B3BB69-23CF-44E3-9099-C40C66FF867C}">
                  <a14:compatExt spid="_x0000_s17410"/>
                </a:ext>
                <a:ext uri="{FF2B5EF4-FFF2-40B4-BE49-F238E27FC236}">
                  <a16:creationId xmlns:a16="http://schemas.microsoft.com/office/drawing/2014/main" id="{00000000-0008-0000-0600-000002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17</xdr:row>
          <xdr:rowOff>9525</xdr:rowOff>
        </xdr:from>
        <xdr:to>
          <xdr:col>1</xdr:col>
          <xdr:colOff>9525</xdr:colOff>
          <xdr:row>18</xdr:row>
          <xdr:rowOff>9525</xdr:rowOff>
        </xdr:to>
        <xdr:sp macro="" textlink="">
          <xdr:nvSpPr>
            <xdr:cNvPr id="17411" name="Check Box 3" hidden="1">
              <a:extLst>
                <a:ext uri="{63B3BB69-23CF-44E3-9099-C40C66FF867C}">
                  <a14:compatExt spid="_x0000_s17411"/>
                </a:ext>
                <a:ext uri="{FF2B5EF4-FFF2-40B4-BE49-F238E27FC236}">
                  <a16:creationId xmlns:a16="http://schemas.microsoft.com/office/drawing/2014/main" id="{00000000-0008-0000-0600-000003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xdr:row>
          <xdr:rowOff>9525</xdr:rowOff>
        </xdr:from>
        <xdr:to>
          <xdr:col>1</xdr:col>
          <xdr:colOff>0</xdr:colOff>
          <xdr:row>19</xdr:row>
          <xdr:rowOff>9525</xdr:rowOff>
        </xdr:to>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600-000004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xdr:row>
          <xdr:rowOff>28575</xdr:rowOff>
        </xdr:from>
        <xdr:to>
          <xdr:col>1</xdr:col>
          <xdr:colOff>0</xdr:colOff>
          <xdr:row>19</xdr:row>
          <xdr:rowOff>190500</xdr:rowOff>
        </xdr:to>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600-000005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20</xdr:row>
          <xdr:rowOff>28575</xdr:rowOff>
        </xdr:from>
        <xdr:to>
          <xdr:col>1</xdr:col>
          <xdr:colOff>0</xdr:colOff>
          <xdr:row>20</xdr:row>
          <xdr:rowOff>200025</xdr:rowOff>
        </xdr:to>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600-000006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21</xdr:row>
          <xdr:rowOff>28575</xdr:rowOff>
        </xdr:from>
        <xdr:to>
          <xdr:col>1</xdr:col>
          <xdr:colOff>9525</xdr:colOff>
          <xdr:row>22</xdr:row>
          <xdr:rowOff>9525</xdr:rowOff>
        </xdr:to>
        <xdr:sp macro="" textlink="">
          <xdr:nvSpPr>
            <xdr:cNvPr id="17415" name="Check Box 7" hidden="1">
              <a:extLst>
                <a:ext uri="{63B3BB69-23CF-44E3-9099-C40C66FF867C}">
                  <a14:compatExt spid="_x0000_s17415"/>
                </a:ext>
                <a:ext uri="{FF2B5EF4-FFF2-40B4-BE49-F238E27FC236}">
                  <a16:creationId xmlns:a16="http://schemas.microsoft.com/office/drawing/2014/main" id="{00000000-0008-0000-0600-000007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22</xdr:row>
          <xdr:rowOff>28575</xdr:rowOff>
        </xdr:from>
        <xdr:to>
          <xdr:col>0</xdr:col>
          <xdr:colOff>228600</xdr:colOff>
          <xdr:row>23</xdr:row>
          <xdr:rowOff>9525</xdr:rowOff>
        </xdr:to>
        <xdr:sp macro="" textlink="">
          <xdr:nvSpPr>
            <xdr:cNvPr id="17416" name="Check Box 8" hidden="1">
              <a:extLst>
                <a:ext uri="{63B3BB69-23CF-44E3-9099-C40C66FF867C}">
                  <a14:compatExt spid="_x0000_s17416"/>
                </a:ext>
                <a:ext uri="{FF2B5EF4-FFF2-40B4-BE49-F238E27FC236}">
                  <a16:creationId xmlns:a16="http://schemas.microsoft.com/office/drawing/2014/main" id="{00000000-0008-0000-0600-000008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23</xdr:row>
          <xdr:rowOff>28575</xdr:rowOff>
        </xdr:from>
        <xdr:to>
          <xdr:col>1</xdr:col>
          <xdr:colOff>9525</xdr:colOff>
          <xdr:row>24</xdr:row>
          <xdr:rowOff>9525</xdr:rowOff>
        </xdr:to>
        <xdr:sp macro="" textlink="">
          <xdr:nvSpPr>
            <xdr:cNvPr id="17417" name="Check Box 9" hidden="1">
              <a:extLst>
                <a:ext uri="{63B3BB69-23CF-44E3-9099-C40C66FF867C}">
                  <a14:compatExt spid="_x0000_s17417"/>
                </a:ext>
                <a:ext uri="{FF2B5EF4-FFF2-40B4-BE49-F238E27FC236}">
                  <a16:creationId xmlns:a16="http://schemas.microsoft.com/office/drawing/2014/main" id="{00000000-0008-0000-0600-000009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24</xdr:row>
          <xdr:rowOff>28575</xdr:rowOff>
        </xdr:from>
        <xdr:to>
          <xdr:col>1</xdr:col>
          <xdr:colOff>0</xdr:colOff>
          <xdr:row>24</xdr:row>
          <xdr:rowOff>200025</xdr:rowOff>
        </xdr:to>
        <xdr:sp macro="" textlink="">
          <xdr:nvSpPr>
            <xdr:cNvPr id="17418" name="Check Box 10" hidden="1">
              <a:extLst>
                <a:ext uri="{63B3BB69-23CF-44E3-9099-C40C66FF867C}">
                  <a14:compatExt spid="_x0000_s17418"/>
                </a:ext>
                <a:ext uri="{FF2B5EF4-FFF2-40B4-BE49-F238E27FC236}">
                  <a16:creationId xmlns:a16="http://schemas.microsoft.com/office/drawing/2014/main" id="{00000000-0008-0000-0600-00000A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25</xdr:row>
          <xdr:rowOff>9525</xdr:rowOff>
        </xdr:from>
        <xdr:to>
          <xdr:col>0</xdr:col>
          <xdr:colOff>238125</xdr:colOff>
          <xdr:row>26</xdr:row>
          <xdr:rowOff>9525</xdr:rowOff>
        </xdr:to>
        <xdr:sp macro="" textlink="">
          <xdr:nvSpPr>
            <xdr:cNvPr id="17419" name="Check Box 11" hidden="1">
              <a:extLst>
                <a:ext uri="{63B3BB69-23CF-44E3-9099-C40C66FF867C}">
                  <a14:compatExt spid="_x0000_s17419"/>
                </a:ext>
                <a:ext uri="{FF2B5EF4-FFF2-40B4-BE49-F238E27FC236}">
                  <a16:creationId xmlns:a16="http://schemas.microsoft.com/office/drawing/2014/main" id="{00000000-0008-0000-0600-00000B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26</xdr:row>
          <xdr:rowOff>28575</xdr:rowOff>
        </xdr:from>
        <xdr:to>
          <xdr:col>1</xdr:col>
          <xdr:colOff>0</xdr:colOff>
          <xdr:row>27</xdr:row>
          <xdr:rowOff>9525</xdr:rowOff>
        </xdr:to>
        <xdr:sp macro="" textlink="">
          <xdr:nvSpPr>
            <xdr:cNvPr id="17420" name="Check Box 12" hidden="1">
              <a:extLst>
                <a:ext uri="{63B3BB69-23CF-44E3-9099-C40C66FF867C}">
                  <a14:compatExt spid="_x0000_s17420"/>
                </a:ext>
                <a:ext uri="{FF2B5EF4-FFF2-40B4-BE49-F238E27FC236}">
                  <a16:creationId xmlns:a16="http://schemas.microsoft.com/office/drawing/2014/main" id="{00000000-0008-0000-0600-00000C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27</xdr:row>
          <xdr:rowOff>9525</xdr:rowOff>
        </xdr:from>
        <xdr:to>
          <xdr:col>1</xdr:col>
          <xdr:colOff>9525</xdr:colOff>
          <xdr:row>28</xdr:row>
          <xdr:rowOff>9525</xdr:rowOff>
        </xdr:to>
        <xdr:sp macro="" textlink="">
          <xdr:nvSpPr>
            <xdr:cNvPr id="17421" name="Check Box 13" hidden="1">
              <a:extLst>
                <a:ext uri="{63B3BB69-23CF-44E3-9099-C40C66FF867C}">
                  <a14:compatExt spid="_x0000_s17421"/>
                </a:ext>
                <a:ext uri="{FF2B5EF4-FFF2-40B4-BE49-F238E27FC236}">
                  <a16:creationId xmlns:a16="http://schemas.microsoft.com/office/drawing/2014/main" id="{00000000-0008-0000-0600-00000D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28</xdr:row>
          <xdr:rowOff>9525</xdr:rowOff>
        </xdr:from>
        <xdr:to>
          <xdr:col>1</xdr:col>
          <xdr:colOff>9525</xdr:colOff>
          <xdr:row>29</xdr:row>
          <xdr:rowOff>9525</xdr:rowOff>
        </xdr:to>
        <xdr:sp macro="" textlink="">
          <xdr:nvSpPr>
            <xdr:cNvPr id="17422" name="Check Box 14" hidden="1">
              <a:extLst>
                <a:ext uri="{63B3BB69-23CF-44E3-9099-C40C66FF867C}">
                  <a14:compatExt spid="_x0000_s17422"/>
                </a:ext>
                <a:ext uri="{FF2B5EF4-FFF2-40B4-BE49-F238E27FC236}">
                  <a16:creationId xmlns:a16="http://schemas.microsoft.com/office/drawing/2014/main" id="{00000000-0008-0000-0600-00000E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29</xdr:row>
          <xdr:rowOff>9525</xdr:rowOff>
        </xdr:from>
        <xdr:to>
          <xdr:col>1</xdr:col>
          <xdr:colOff>0</xdr:colOff>
          <xdr:row>30</xdr:row>
          <xdr:rowOff>9525</xdr:rowOff>
        </xdr:to>
        <xdr:sp macro="" textlink="">
          <xdr:nvSpPr>
            <xdr:cNvPr id="17423" name="Check Box 15" hidden="1">
              <a:extLst>
                <a:ext uri="{63B3BB69-23CF-44E3-9099-C40C66FF867C}">
                  <a14:compatExt spid="_x0000_s17423"/>
                </a:ext>
                <a:ext uri="{FF2B5EF4-FFF2-40B4-BE49-F238E27FC236}">
                  <a16:creationId xmlns:a16="http://schemas.microsoft.com/office/drawing/2014/main" id="{00000000-0008-0000-0600-00000F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30</xdr:row>
          <xdr:rowOff>9525</xdr:rowOff>
        </xdr:from>
        <xdr:to>
          <xdr:col>0</xdr:col>
          <xdr:colOff>228600</xdr:colOff>
          <xdr:row>30</xdr:row>
          <xdr:rowOff>200025</xdr:rowOff>
        </xdr:to>
        <xdr:sp macro="" textlink="">
          <xdr:nvSpPr>
            <xdr:cNvPr id="17424" name="Check Box 16" hidden="1">
              <a:extLst>
                <a:ext uri="{63B3BB69-23CF-44E3-9099-C40C66FF867C}">
                  <a14:compatExt spid="_x0000_s17424"/>
                </a:ext>
                <a:ext uri="{FF2B5EF4-FFF2-40B4-BE49-F238E27FC236}">
                  <a16:creationId xmlns:a16="http://schemas.microsoft.com/office/drawing/2014/main" id="{00000000-0008-0000-0600-000010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0</xdr:col>
          <xdr:colOff>228600</xdr:colOff>
          <xdr:row>32</xdr:row>
          <xdr:rowOff>9525</xdr:rowOff>
        </xdr:to>
        <xdr:sp macro="" textlink="">
          <xdr:nvSpPr>
            <xdr:cNvPr id="17425" name="Check Box 17" hidden="1">
              <a:extLst>
                <a:ext uri="{63B3BB69-23CF-44E3-9099-C40C66FF867C}">
                  <a14:compatExt spid="_x0000_s17425"/>
                </a:ext>
                <a:ext uri="{FF2B5EF4-FFF2-40B4-BE49-F238E27FC236}">
                  <a16:creationId xmlns:a16="http://schemas.microsoft.com/office/drawing/2014/main" id="{00000000-0008-0000-0600-000011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28575</xdr:rowOff>
        </xdr:from>
        <xdr:to>
          <xdr:col>1</xdr:col>
          <xdr:colOff>0</xdr:colOff>
          <xdr:row>33</xdr:row>
          <xdr:rowOff>9525</xdr:rowOff>
        </xdr:to>
        <xdr:sp macro="" textlink="">
          <xdr:nvSpPr>
            <xdr:cNvPr id="17426" name="Check Box 18" hidden="1">
              <a:extLst>
                <a:ext uri="{63B3BB69-23CF-44E3-9099-C40C66FF867C}">
                  <a14:compatExt spid="_x0000_s17426"/>
                </a:ext>
                <a:ext uri="{FF2B5EF4-FFF2-40B4-BE49-F238E27FC236}">
                  <a16:creationId xmlns:a16="http://schemas.microsoft.com/office/drawing/2014/main" id="{00000000-0008-0000-0600-000012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28575</xdr:rowOff>
        </xdr:from>
        <xdr:to>
          <xdr:col>1</xdr:col>
          <xdr:colOff>0</xdr:colOff>
          <xdr:row>33</xdr:row>
          <xdr:rowOff>200025</xdr:rowOff>
        </xdr:to>
        <xdr:sp macro="" textlink="">
          <xdr:nvSpPr>
            <xdr:cNvPr id="17427" name="Check Box 19" hidden="1">
              <a:extLst>
                <a:ext uri="{63B3BB69-23CF-44E3-9099-C40C66FF867C}">
                  <a14:compatExt spid="_x0000_s17427"/>
                </a:ext>
                <a:ext uri="{FF2B5EF4-FFF2-40B4-BE49-F238E27FC236}">
                  <a16:creationId xmlns:a16="http://schemas.microsoft.com/office/drawing/2014/main" id="{00000000-0008-0000-0600-000013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34</xdr:row>
          <xdr:rowOff>9525</xdr:rowOff>
        </xdr:from>
        <xdr:to>
          <xdr:col>1</xdr:col>
          <xdr:colOff>9525</xdr:colOff>
          <xdr:row>35</xdr:row>
          <xdr:rowOff>9525</xdr:rowOff>
        </xdr:to>
        <xdr:sp macro="" textlink="">
          <xdr:nvSpPr>
            <xdr:cNvPr id="17428" name="Check Box 20" hidden="1">
              <a:extLst>
                <a:ext uri="{63B3BB69-23CF-44E3-9099-C40C66FF867C}">
                  <a14:compatExt spid="_x0000_s17428"/>
                </a:ext>
                <a:ext uri="{FF2B5EF4-FFF2-40B4-BE49-F238E27FC236}">
                  <a16:creationId xmlns:a16="http://schemas.microsoft.com/office/drawing/2014/main" id="{00000000-0008-0000-0600-000014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35</xdr:row>
          <xdr:rowOff>9525</xdr:rowOff>
        </xdr:from>
        <xdr:to>
          <xdr:col>1</xdr:col>
          <xdr:colOff>9525</xdr:colOff>
          <xdr:row>36</xdr:row>
          <xdr:rowOff>9525</xdr:rowOff>
        </xdr:to>
        <xdr:sp macro="" textlink="">
          <xdr:nvSpPr>
            <xdr:cNvPr id="17429" name="Check Box 21" hidden="1">
              <a:extLst>
                <a:ext uri="{63B3BB69-23CF-44E3-9099-C40C66FF867C}">
                  <a14:compatExt spid="_x0000_s17429"/>
                </a:ext>
                <a:ext uri="{FF2B5EF4-FFF2-40B4-BE49-F238E27FC236}">
                  <a16:creationId xmlns:a16="http://schemas.microsoft.com/office/drawing/2014/main" id="{00000000-0008-0000-0600-000015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39</xdr:row>
          <xdr:rowOff>9525</xdr:rowOff>
        </xdr:from>
        <xdr:to>
          <xdr:col>3</xdr:col>
          <xdr:colOff>495300</xdr:colOff>
          <xdr:row>39</xdr:row>
          <xdr:rowOff>152400</xdr:rowOff>
        </xdr:to>
        <xdr:sp macro="" textlink="">
          <xdr:nvSpPr>
            <xdr:cNvPr id="17430" name="Check Box 22" hidden="1">
              <a:extLst>
                <a:ext uri="{63B3BB69-23CF-44E3-9099-C40C66FF867C}">
                  <a14:compatExt spid="_x0000_s17430"/>
                </a:ext>
                <a:ext uri="{FF2B5EF4-FFF2-40B4-BE49-F238E27FC236}">
                  <a16:creationId xmlns:a16="http://schemas.microsoft.com/office/drawing/2014/main" id="{00000000-0008-0000-0600-000016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40</xdr:row>
          <xdr:rowOff>0</xdr:rowOff>
        </xdr:from>
        <xdr:to>
          <xdr:col>3</xdr:col>
          <xdr:colOff>485775</xdr:colOff>
          <xdr:row>40</xdr:row>
          <xdr:rowOff>152400</xdr:rowOff>
        </xdr:to>
        <xdr:sp macro="" textlink="">
          <xdr:nvSpPr>
            <xdr:cNvPr id="17431" name="Check Box 23" hidden="1">
              <a:extLst>
                <a:ext uri="{63B3BB69-23CF-44E3-9099-C40C66FF867C}">
                  <a14:compatExt spid="_x0000_s17431"/>
                </a:ext>
                <a:ext uri="{FF2B5EF4-FFF2-40B4-BE49-F238E27FC236}">
                  <a16:creationId xmlns:a16="http://schemas.microsoft.com/office/drawing/2014/main" id="{00000000-0008-0000-0600-000017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41</xdr:row>
          <xdr:rowOff>0</xdr:rowOff>
        </xdr:from>
        <xdr:to>
          <xdr:col>3</xdr:col>
          <xdr:colOff>495300</xdr:colOff>
          <xdr:row>42</xdr:row>
          <xdr:rowOff>9525</xdr:rowOff>
        </xdr:to>
        <xdr:sp macro="" textlink="">
          <xdr:nvSpPr>
            <xdr:cNvPr id="17432" name="Check Box 24" hidden="1">
              <a:extLst>
                <a:ext uri="{63B3BB69-23CF-44E3-9099-C40C66FF867C}">
                  <a14:compatExt spid="_x0000_s17432"/>
                </a:ext>
                <a:ext uri="{FF2B5EF4-FFF2-40B4-BE49-F238E27FC236}">
                  <a16:creationId xmlns:a16="http://schemas.microsoft.com/office/drawing/2014/main" id="{00000000-0008-0000-0600-000018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371475</xdr:colOff>
          <xdr:row>39</xdr:row>
          <xdr:rowOff>28575</xdr:rowOff>
        </xdr:from>
        <xdr:to>
          <xdr:col>4</xdr:col>
          <xdr:colOff>619125</xdr:colOff>
          <xdr:row>40</xdr:row>
          <xdr:rowOff>0</xdr:rowOff>
        </xdr:to>
        <xdr:sp macro="" textlink="">
          <xdr:nvSpPr>
            <xdr:cNvPr id="17433" name="Check Box 25" hidden="1">
              <a:extLst>
                <a:ext uri="{63B3BB69-23CF-44E3-9099-C40C66FF867C}">
                  <a14:compatExt spid="_x0000_s17433"/>
                </a:ext>
                <a:ext uri="{FF2B5EF4-FFF2-40B4-BE49-F238E27FC236}">
                  <a16:creationId xmlns:a16="http://schemas.microsoft.com/office/drawing/2014/main" id="{00000000-0008-0000-0600-000019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371475</xdr:colOff>
          <xdr:row>40</xdr:row>
          <xdr:rowOff>9525</xdr:rowOff>
        </xdr:from>
        <xdr:to>
          <xdr:col>4</xdr:col>
          <xdr:colOff>657225</xdr:colOff>
          <xdr:row>41</xdr:row>
          <xdr:rowOff>28575</xdr:rowOff>
        </xdr:to>
        <xdr:sp macro="" textlink="">
          <xdr:nvSpPr>
            <xdr:cNvPr id="17434" name="Check Box 26" hidden="1">
              <a:extLst>
                <a:ext uri="{63B3BB69-23CF-44E3-9099-C40C66FF867C}">
                  <a14:compatExt spid="_x0000_s17434"/>
                </a:ext>
                <a:ext uri="{FF2B5EF4-FFF2-40B4-BE49-F238E27FC236}">
                  <a16:creationId xmlns:a16="http://schemas.microsoft.com/office/drawing/2014/main" id="{00000000-0008-0000-0600-00001A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371475</xdr:colOff>
          <xdr:row>41</xdr:row>
          <xdr:rowOff>9525</xdr:rowOff>
        </xdr:from>
        <xdr:to>
          <xdr:col>4</xdr:col>
          <xdr:colOff>619125</xdr:colOff>
          <xdr:row>41</xdr:row>
          <xdr:rowOff>152400</xdr:rowOff>
        </xdr:to>
        <xdr:sp macro="" textlink="">
          <xdr:nvSpPr>
            <xdr:cNvPr id="17435" name="Check Box 27" hidden="1">
              <a:extLst>
                <a:ext uri="{63B3BB69-23CF-44E3-9099-C40C66FF867C}">
                  <a14:compatExt spid="_x0000_s17435"/>
                </a:ext>
                <a:ext uri="{FF2B5EF4-FFF2-40B4-BE49-F238E27FC236}">
                  <a16:creationId xmlns:a16="http://schemas.microsoft.com/office/drawing/2014/main" id="{00000000-0008-0000-0600-00001B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45</xdr:row>
          <xdr:rowOff>9525</xdr:rowOff>
        </xdr:from>
        <xdr:to>
          <xdr:col>1</xdr:col>
          <xdr:colOff>0</xdr:colOff>
          <xdr:row>46</xdr:row>
          <xdr:rowOff>28575</xdr:rowOff>
        </xdr:to>
        <xdr:sp macro="" textlink="">
          <xdr:nvSpPr>
            <xdr:cNvPr id="17437" name="Check Box 29" hidden="1">
              <a:extLst>
                <a:ext uri="{63B3BB69-23CF-44E3-9099-C40C66FF867C}">
                  <a14:compatExt spid="_x0000_s17437"/>
                </a:ext>
                <a:ext uri="{FF2B5EF4-FFF2-40B4-BE49-F238E27FC236}">
                  <a16:creationId xmlns:a16="http://schemas.microsoft.com/office/drawing/2014/main" id="{00000000-0008-0000-0600-00001D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46</xdr:row>
          <xdr:rowOff>9525</xdr:rowOff>
        </xdr:from>
        <xdr:to>
          <xdr:col>0</xdr:col>
          <xdr:colOff>228600</xdr:colOff>
          <xdr:row>47</xdr:row>
          <xdr:rowOff>9525</xdr:rowOff>
        </xdr:to>
        <xdr:sp macro="" textlink="">
          <xdr:nvSpPr>
            <xdr:cNvPr id="17438" name="Check Box 30" hidden="1">
              <a:extLst>
                <a:ext uri="{63B3BB69-23CF-44E3-9099-C40C66FF867C}">
                  <a14:compatExt spid="_x0000_s17438"/>
                </a:ext>
                <a:ext uri="{FF2B5EF4-FFF2-40B4-BE49-F238E27FC236}">
                  <a16:creationId xmlns:a16="http://schemas.microsoft.com/office/drawing/2014/main" id="{00000000-0008-0000-0600-00001E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47</xdr:row>
          <xdr:rowOff>9525</xdr:rowOff>
        </xdr:from>
        <xdr:to>
          <xdr:col>1</xdr:col>
          <xdr:colOff>0</xdr:colOff>
          <xdr:row>47</xdr:row>
          <xdr:rowOff>190500</xdr:rowOff>
        </xdr:to>
        <xdr:sp macro="" textlink="">
          <xdr:nvSpPr>
            <xdr:cNvPr id="17439" name="Check Box 31" hidden="1">
              <a:extLst>
                <a:ext uri="{63B3BB69-23CF-44E3-9099-C40C66FF867C}">
                  <a14:compatExt spid="_x0000_s17439"/>
                </a:ext>
                <a:ext uri="{FF2B5EF4-FFF2-40B4-BE49-F238E27FC236}">
                  <a16:creationId xmlns:a16="http://schemas.microsoft.com/office/drawing/2014/main" id="{00000000-0008-0000-0600-00001F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48</xdr:row>
          <xdr:rowOff>9525</xdr:rowOff>
        </xdr:from>
        <xdr:to>
          <xdr:col>1</xdr:col>
          <xdr:colOff>0</xdr:colOff>
          <xdr:row>49</xdr:row>
          <xdr:rowOff>9525</xdr:rowOff>
        </xdr:to>
        <xdr:sp macro="" textlink="">
          <xdr:nvSpPr>
            <xdr:cNvPr id="17440" name="Check Box 32" hidden="1">
              <a:extLst>
                <a:ext uri="{63B3BB69-23CF-44E3-9099-C40C66FF867C}">
                  <a14:compatExt spid="_x0000_s17440"/>
                </a:ext>
                <a:ext uri="{FF2B5EF4-FFF2-40B4-BE49-F238E27FC236}">
                  <a16:creationId xmlns:a16="http://schemas.microsoft.com/office/drawing/2014/main" id="{00000000-0008-0000-0600-000020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48</xdr:row>
          <xdr:rowOff>190500</xdr:rowOff>
        </xdr:from>
        <xdr:to>
          <xdr:col>0</xdr:col>
          <xdr:colOff>228600</xdr:colOff>
          <xdr:row>50</xdr:row>
          <xdr:rowOff>9525</xdr:rowOff>
        </xdr:to>
        <xdr:sp macro="" textlink="">
          <xdr:nvSpPr>
            <xdr:cNvPr id="17441" name="Check Box 33" hidden="1">
              <a:extLst>
                <a:ext uri="{63B3BB69-23CF-44E3-9099-C40C66FF867C}">
                  <a14:compatExt spid="_x0000_s17441"/>
                </a:ext>
                <a:ext uri="{FF2B5EF4-FFF2-40B4-BE49-F238E27FC236}">
                  <a16:creationId xmlns:a16="http://schemas.microsoft.com/office/drawing/2014/main" id="{00000000-0008-0000-0600-000021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50</xdr:row>
          <xdr:rowOff>0</xdr:rowOff>
        </xdr:from>
        <xdr:to>
          <xdr:col>1</xdr:col>
          <xdr:colOff>9525</xdr:colOff>
          <xdr:row>51</xdr:row>
          <xdr:rowOff>9525</xdr:rowOff>
        </xdr:to>
        <xdr:sp macro="" textlink="">
          <xdr:nvSpPr>
            <xdr:cNvPr id="17442" name="Check Box 34" hidden="1">
              <a:extLst>
                <a:ext uri="{63B3BB69-23CF-44E3-9099-C40C66FF867C}">
                  <a14:compatExt spid="_x0000_s17442"/>
                </a:ext>
                <a:ext uri="{FF2B5EF4-FFF2-40B4-BE49-F238E27FC236}">
                  <a16:creationId xmlns:a16="http://schemas.microsoft.com/office/drawing/2014/main" id="{00000000-0008-0000-0600-000022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50</xdr:row>
          <xdr:rowOff>190500</xdr:rowOff>
        </xdr:from>
        <xdr:to>
          <xdr:col>1</xdr:col>
          <xdr:colOff>0</xdr:colOff>
          <xdr:row>52</xdr:row>
          <xdr:rowOff>0</xdr:rowOff>
        </xdr:to>
        <xdr:sp macro="" textlink="">
          <xdr:nvSpPr>
            <xdr:cNvPr id="17443" name="Check Box 35" hidden="1">
              <a:extLst>
                <a:ext uri="{63B3BB69-23CF-44E3-9099-C40C66FF867C}">
                  <a14:compatExt spid="_x0000_s17443"/>
                </a:ext>
                <a:ext uri="{FF2B5EF4-FFF2-40B4-BE49-F238E27FC236}">
                  <a16:creationId xmlns:a16="http://schemas.microsoft.com/office/drawing/2014/main" id="{00000000-0008-0000-0600-000023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51</xdr:row>
          <xdr:rowOff>200025</xdr:rowOff>
        </xdr:from>
        <xdr:to>
          <xdr:col>1</xdr:col>
          <xdr:colOff>0</xdr:colOff>
          <xdr:row>53</xdr:row>
          <xdr:rowOff>9525</xdr:rowOff>
        </xdr:to>
        <xdr:sp macro="" textlink="">
          <xdr:nvSpPr>
            <xdr:cNvPr id="17444" name="Check Box 36" hidden="1">
              <a:extLst>
                <a:ext uri="{63B3BB69-23CF-44E3-9099-C40C66FF867C}">
                  <a14:compatExt spid="_x0000_s17444"/>
                </a:ext>
                <a:ext uri="{FF2B5EF4-FFF2-40B4-BE49-F238E27FC236}">
                  <a16:creationId xmlns:a16="http://schemas.microsoft.com/office/drawing/2014/main" id="{00000000-0008-0000-0600-000024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54</xdr:row>
          <xdr:rowOff>9525</xdr:rowOff>
        </xdr:from>
        <xdr:to>
          <xdr:col>1</xdr:col>
          <xdr:colOff>0</xdr:colOff>
          <xdr:row>55</xdr:row>
          <xdr:rowOff>9525</xdr:rowOff>
        </xdr:to>
        <xdr:sp macro="" textlink="">
          <xdr:nvSpPr>
            <xdr:cNvPr id="17445" name="Check Box 37" hidden="1">
              <a:extLst>
                <a:ext uri="{63B3BB69-23CF-44E3-9099-C40C66FF867C}">
                  <a14:compatExt spid="_x0000_s17445"/>
                </a:ext>
                <a:ext uri="{FF2B5EF4-FFF2-40B4-BE49-F238E27FC236}">
                  <a16:creationId xmlns:a16="http://schemas.microsoft.com/office/drawing/2014/main" id="{00000000-0008-0000-0600-000025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54</xdr:row>
          <xdr:rowOff>190500</xdr:rowOff>
        </xdr:from>
        <xdr:to>
          <xdr:col>0</xdr:col>
          <xdr:colOff>228600</xdr:colOff>
          <xdr:row>56</xdr:row>
          <xdr:rowOff>9525</xdr:rowOff>
        </xdr:to>
        <xdr:sp macro="" textlink="">
          <xdr:nvSpPr>
            <xdr:cNvPr id="17446" name="Check Box 38" hidden="1">
              <a:extLst>
                <a:ext uri="{63B3BB69-23CF-44E3-9099-C40C66FF867C}">
                  <a14:compatExt spid="_x0000_s17446"/>
                </a:ext>
                <a:ext uri="{FF2B5EF4-FFF2-40B4-BE49-F238E27FC236}">
                  <a16:creationId xmlns:a16="http://schemas.microsoft.com/office/drawing/2014/main" id="{00000000-0008-0000-0600-000026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56</xdr:row>
          <xdr:rowOff>9525</xdr:rowOff>
        </xdr:from>
        <xdr:to>
          <xdr:col>0</xdr:col>
          <xdr:colOff>228600</xdr:colOff>
          <xdr:row>57</xdr:row>
          <xdr:rowOff>9525</xdr:rowOff>
        </xdr:to>
        <xdr:sp macro="" textlink="">
          <xdr:nvSpPr>
            <xdr:cNvPr id="17447" name="Check Box 39" hidden="1">
              <a:extLst>
                <a:ext uri="{63B3BB69-23CF-44E3-9099-C40C66FF867C}">
                  <a14:compatExt spid="_x0000_s17447"/>
                </a:ext>
                <a:ext uri="{FF2B5EF4-FFF2-40B4-BE49-F238E27FC236}">
                  <a16:creationId xmlns:a16="http://schemas.microsoft.com/office/drawing/2014/main" id="{00000000-0008-0000-0600-000027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57</xdr:row>
          <xdr:rowOff>9525</xdr:rowOff>
        </xdr:from>
        <xdr:to>
          <xdr:col>1</xdr:col>
          <xdr:colOff>9525</xdr:colOff>
          <xdr:row>58</xdr:row>
          <xdr:rowOff>0</xdr:rowOff>
        </xdr:to>
        <xdr:sp macro="" textlink="">
          <xdr:nvSpPr>
            <xdr:cNvPr id="17448" name="Check Box 40" hidden="1">
              <a:extLst>
                <a:ext uri="{63B3BB69-23CF-44E3-9099-C40C66FF867C}">
                  <a14:compatExt spid="_x0000_s17448"/>
                </a:ext>
                <a:ext uri="{FF2B5EF4-FFF2-40B4-BE49-F238E27FC236}">
                  <a16:creationId xmlns:a16="http://schemas.microsoft.com/office/drawing/2014/main" id="{00000000-0008-0000-0600-000028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276225</xdr:colOff>
          <xdr:row>40</xdr:row>
          <xdr:rowOff>0</xdr:rowOff>
        </xdr:from>
        <xdr:to>
          <xdr:col>2</xdr:col>
          <xdr:colOff>571500</xdr:colOff>
          <xdr:row>40</xdr:row>
          <xdr:rowOff>152400</xdr:rowOff>
        </xdr:to>
        <xdr:sp macro="" textlink="">
          <xdr:nvSpPr>
            <xdr:cNvPr id="17449" name="Check Box 41" hidden="1">
              <a:extLst>
                <a:ext uri="{63B3BB69-23CF-44E3-9099-C40C66FF867C}">
                  <a14:compatExt spid="_x0000_s17449"/>
                </a:ext>
                <a:ext uri="{FF2B5EF4-FFF2-40B4-BE49-F238E27FC236}">
                  <a16:creationId xmlns:a16="http://schemas.microsoft.com/office/drawing/2014/main" id="{00000000-0008-0000-0600-000029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53</xdr:row>
          <xdr:rowOff>0</xdr:rowOff>
        </xdr:from>
        <xdr:to>
          <xdr:col>1</xdr:col>
          <xdr:colOff>76200</xdr:colOff>
          <xdr:row>54</xdr:row>
          <xdr:rowOff>28575</xdr:rowOff>
        </xdr:to>
        <xdr:sp macro="" textlink="">
          <xdr:nvSpPr>
            <xdr:cNvPr id="17450" name="Check Box 42" hidden="1">
              <a:extLst>
                <a:ext uri="{63B3BB69-23CF-44E3-9099-C40C66FF867C}">
                  <a14:compatExt spid="_x0000_s17450"/>
                </a:ext>
                <a:ext uri="{FF2B5EF4-FFF2-40B4-BE49-F238E27FC236}">
                  <a16:creationId xmlns:a16="http://schemas.microsoft.com/office/drawing/2014/main" id="{00000000-0008-0000-0600-00002A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104775</xdr:colOff>
          <xdr:row>7</xdr:row>
          <xdr:rowOff>0</xdr:rowOff>
        </xdr:from>
        <xdr:to>
          <xdr:col>1</xdr:col>
          <xdr:colOff>409575</xdr:colOff>
          <xdr:row>8</xdr:row>
          <xdr:rowOff>47625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700-000002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38</xdr:row>
          <xdr:rowOff>161925</xdr:rowOff>
        </xdr:from>
        <xdr:to>
          <xdr:col>0</xdr:col>
          <xdr:colOff>342900</xdr:colOff>
          <xdr:row>39</xdr:row>
          <xdr:rowOff>219075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800-00000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39</xdr:row>
          <xdr:rowOff>219075</xdr:rowOff>
        </xdr:from>
        <xdr:to>
          <xdr:col>1</xdr:col>
          <xdr:colOff>0</xdr:colOff>
          <xdr:row>41</xdr:row>
          <xdr:rowOff>9525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800-00000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41</xdr:row>
          <xdr:rowOff>0</xdr:rowOff>
        </xdr:from>
        <xdr:to>
          <xdr:col>1</xdr:col>
          <xdr:colOff>0</xdr:colOff>
          <xdr:row>42</xdr:row>
          <xdr:rowOff>9525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800-00000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120</xdr:row>
          <xdr:rowOff>0</xdr:rowOff>
        </xdr:from>
        <xdr:to>
          <xdr:col>2</xdr:col>
          <xdr:colOff>904875</xdr:colOff>
          <xdr:row>121</xdr:row>
          <xdr:rowOff>9525</xdr:rowOff>
        </xdr:to>
        <xdr:sp macro="" textlink="">
          <xdr:nvSpPr>
            <xdr:cNvPr id="1028" name="Option Button 4" hidden="1">
              <a:extLst>
                <a:ext uri="{63B3BB69-23CF-44E3-9099-C40C66FF867C}">
                  <a14:compatExt spid="_x0000_s1028"/>
                </a:ext>
                <a:ext uri="{FF2B5EF4-FFF2-40B4-BE49-F238E27FC236}">
                  <a16:creationId xmlns:a16="http://schemas.microsoft.com/office/drawing/2014/main" id="{00000000-0008-0000-0800-00000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121</xdr:row>
          <xdr:rowOff>0</xdr:rowOff>
        </xdr:from>
        <xdr:to>
          <xdr:col>2</xdr:col>
          <xdr:colOff>752475</xdr:colOff>
          <xdr:row>122</xdr:row>
          <xdr:rowOff>0</xdr:rowOff>
        </xdr:to>
        <xdr:sp macro="" textlink="">
          <xdr:nvSpPr>
            <xdr:cNvPr id="1029" name="Option Button 5" hidden="1">
              <a:extLst>
                <a:ext uri="{63B3BB69-23CF-44E3-9099-C40C66FF867C}">
                  <a14:compatExt spid="_x0000_s1029"/>
                </a:ext>
                <a:ext uri="{FF2B5EF4-FFF2-40B4-BE49-F238E27FC236}">
                  <a16:creationId xmlns:a16="http://schemas.microsoft.com/office/drawing/2014/main" id="{00000000-0008-0000-0800-00000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7432" rIns="0" bIns="27432" anchor="ctr" upright="1"/>
            <a:lstStyle/>
            <a:p>
              <a:pPr algn="l" rtl="0">
                <a:defRPr sz="1000"/>
              </a:pPr>
              <a:endParaRPr lang="en-US" sz="1200" b="0" i="0" u="none" strike="noStrike" baseline="0">
                <a:solidFill>
                  <a:srgbClr val="000000"/>
                </a:solidFill>
                <a:latin typeface="Calibri"/>
                <a:cs typeface="Calibri"/>
              </a:endParaRPr>
            </a:p>
            <a:p>
              <a:pPr algn="l" rtl="0">
                <a:defRPr sz="1000"/>
              </a:pPr>
              <a:endParaRPr lang="en-US" sz="1200" b="0" i="0" u="none" strike="noStrike" baseline="0">
                <a:solidFill>
                  <a:srgbClr val="000000"/>
                </a:solidFill>
                <a:latin typeface="Calibri"/>
                <a:cs typeface="Calibri"/>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122</xdr:row>
          <xdr:rowOff>0</xdr:rowOff>
        </xdr:from>
        <xdr:to>
          <xdr:col>2</xdr:col>
          <xdr:colOff>942975</xdr:colOff>
          <xdr:row>123</xdr:row>
          <xdr:rowOff>9525</xdr:rowOff>
        </xdr:to>
        <xdr:sp macro="" textlink="">
          <xdr:nvSpPr>
            <xdr:cNvPr id="1030" name="Option Button 6" hidden="1">
              <a:extLst>
                <a:ext uri="{63B3BB69-23CF-44E3-9099-C40C66FF867C}">
                  <a14:compatExt spid="_x0000_s1030"/>
                </a:ext>
                <a:ext uri="{FF2B5EF4-FFF2-40B4-BE49-F238E27FC236}">
                  <a16:creationId xmlns:a16="http://schemas.microsoft.com/office/drawing/2014/main" id="{00000000-0008-0000-0800-00000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131</xdr:row>
          <xdr:rowOff>152400</xdr:rowOff>
        </xdr:from>
        <xdr:to>
          <xdr:col>1</xdr:col>
          <xdr:colOff>0</xdr:colOff>
          <xdr:row>132</xdr:row>
          <xdr:rowOff>190500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800-00000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134</xdr:row>
          <xdr:rowOff>0</xdr:rowOff>
        </xdr:from>
        <xdr:to>
          <xdr:col>0</xdr:col>
          <xdr:colOff>342900</xdr:colOff>
          <xdr:row>134</xdr:row>
          <xdr:rowOff>200025</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800-00000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133</xdr:row>
          <xdr:rowOff>9525</xdr:rowOff>
        </xdr:from>
        <xdr:to>
          <xdr:col>1</xdr:col>
          <xdr:colOff>0</xdr:colOff>
          <xdr:row>134</xdr:row>
          <xdr:rowOff>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800-00000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135</xdr:row>
          <xdr:rowOff>9525</xdr:rowOff>
        </xdr:from>
        <xdr:to>
          <xdr:col>1</xdr:col>
          <xdr:colOff>9525</xdr:colOff>
          <xdr:row>136</xdr:row>
          <xdr:rowOff>9525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800-00000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136</xdr:row>
          <xdr:rowOff>9525</xdr:rowOff>
        </xdr:from>
        <xdr:to>
          <xdr:col>1</xdr:col>
          <xdr:colOff>0</xdr:colOff>
          <xdr:row>137</xdr:row>
          <xdr:rowOff>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800-00000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143</xdr:row>
          <xdr:rowOff>9525</xdr:rowOff>
        </xdr:from>
        <xdr:to>
          <xdr:col>0</xdr:col>
          <xdr:colOff>333375</xdr:colOff>
          <xdr:row>144</xdr:row>
          <xdr:rowOff>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800-00000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144</xdr:row>
          <xdr:rowOff>9525</xdr:rowOff>
        </xdr:from>
        <xdr:to>
          <xdr:col>0</xdr:col>
          <xdr:colOff>333375</xdr:colOff>
          <xdr:row>145</xdr:row>
          <xdr:rowOff>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800-00000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145</xdr:row>
          <xdr:rowOff>9525</xdr:rowOff>
        </xdr:from>
        <xdr:to>
          <xdr:col>0</xdr:col>
          <xdr:colOff>333375</xdr:colOff>
          <xdr:row>146</xdr:row>
          <xdr:rowOff>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800-00000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146</xdr:row>
          <xdr:rowOff>9525</xdr:rowOff>
        </xdr:from>
        <xdr:to>
          <xdr:col>0</xdr:col>
          <xdr:colOff>333375</xdr:colOff>
          <xdr:row>147</xdr:row>
          <xdr:rowOff>9525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800-00000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147</xdr:row>
          <xdr:rowOff>9525</xdr:rowOff>
        </xdr:from>
        <xdr:to>
          <xdr:col>0</xdr:col>
          <xdr:colOff>333375</xdr:colOff>
          <xdr:row>148</xdr:row>
          <xdr:rowOff>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800-00001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148</xdr:row>
          <xdr:rowOff>0</xdr:rowOff>
        </xdr:from>
        <xdr:to>
          <xdr:col>0</xdr:col>
          <xdr:colOff>333375</xdr:colOff>
          <xdr:row>149</xdr:row>
          <xdr:rowOff>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800-00001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149</xdr:row>
          <xdr:rowOff>9525</xdr:rowOff>
        </xdr:from>
        <xdr:to>
          <xdr:col>0</xdr:col>
          <xdr:colOff>333375</xdr:colOff>
          <xdr:row>150</xdr:row>
          <xdr:rowOff>9525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800-00001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342900</xdr:colOff>
          <xdr:row>156</xdr:row>
          <xdr:rowOff>0</xdr:rowOff>
        </xdr:from>
        <xdr:to>
          <xdr:col>1</xdr:col>
          <xdr:colOff>581025</xdr:colOff>
          <xdr:row>157</xdr:row>
          <xdr:rowOff>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800-00001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177</xdr:row>
          <xdr:rowOff>142875</xdr:rowOff>
        </xdr:from>
        <xdr:to>
          <xdr:col>1</xdr:col>
          <xdr:colOff>0</xdr:colOff>
          <xdr:row>179</xdr:row>
          <xdr:rowOff>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800-00001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179</xdr:row>
          <xdr:rowOff>0</xdr:rowOff>
        </xdr:from>
        <xdr:to>
          <xdr:col>1</xdr:col>
          <xdr:colOff>0</xdr:colOff>
          <xdr:row>180</xdr:row>
          <xdr:rowOff>9525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800-00001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180</xdr:row>
          <xdr:rowOff>9525</xdr:rowOff>
        </xdr:from>
        <xdr:to>
          <xdr:col>1</xdr:col>
          <xdr:colOff>0</xdr:colOff>
          <xdr:row>181</xdr:row>
          <xdr:rowOff>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800-00001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180</xdr:row>
          <xdr:rowOff>219075</xdr:rowOff>
        </xdr:from>
        <xdr:to>
          <xdr:col>0</xdr:col>
          <xdr:colOff>342900</xdr:colOff>
          <xdr:row>182</xdr:row>
          <xdr:rowOff>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800-00001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182</xdr:row>
          <xdr:rowOff>0</xdr:rowOff>
        </xdr:from>
        <xdr:to>
          <xdr:col>1</xdr:col>
          <xdr:colOff>9525</xdr:colOff>
          <xdr:row>183</xdr:row>
          <xdr:rowOff>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800-00001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183</xdr:row>
          <xdr:rowOff>9525</xdr:rowOff>
        </xdr:from>
        <xdr:to>
          <xdr:col>0</xdr:col>
          <xdr:colOff>342900</xdr:colOff>
          <xdr:row>184</xdr:row>
          <xdr:rowOff>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800-00001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184</xdr:row>
          <xdr:rowOff>9525</xdr:rowOff>
        </xdr:from>
        <xdr:to>
          <xdr:col>1</xdr:col>
          <xdr:colOff>0</xdr:colOff>
          <xdr:row>185</xdr:row>
          <xdr:rowOff>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800-00001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185</xdr:row>
          <xdr:rowOff>9525</xdr:rowOff>
        </xdr:from>
        <xdr:to>
          <xdr:col>1</xdr:col>
          <xdr:colOff>0</xdr:colOff>
          <xdr:row>186</xdr:row>
          <xdr:rowOff>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800-00001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189</xdr:row>
          <xdr:rowOff>142875</xdr:rowOff>
        </xdr:from>
        <xdr:to>
          <xdr:col>1</xdr:col>
          <xdr:colOff>0</xdr:colOff>
          <xdr:row>191</xdr:row>
          <xdr:rowOff>9525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800-00002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190</xdr:row>
          <xdr:rowOff>200025</xdr:rowOff>
        </xdr:from>
        <xdr:to>
          <xdr:col>1</xdr:col>
          <xdr:colOff>0</xdr:colOff>
          <xdr:row>192</xdr:row>
          <xdr:rowOff>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800-00002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192</xdr:row>
          <xdr:rowOff>9525</xdr:rowOff>
        </xdr:from>
        <xdr:to>
          <xdr:col>1</xdr:col>
          <xdr:colOff>9525</xdr:colOff>
          <xdr:row>193</xdr:row>
          <xdr:rowOff>9525</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800-00002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193</xdr:row>
          <xdr:rowOff>0</xdr:rowOff>
        </xdr:from>
        <xdr:to>
          <xdr:col>1</xdr:col>
          <xdr:colOff>9525</xdr:colOff>
          <xdr:row>194</xdr:row>
          <xdr:rowOff>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800-00002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194</xdr:row>
          <xdr:rowOff>0</xdr:rowOff>
        </xdr:from>
        <xdr:to>
          <xdr:col>1</xdr:col>
          <xdr:colOff>0</xdr:colOff>
          <xdr:row>195</xdr:row>
          <xdr:rowOff>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800-00002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194</xdr:row>
          <xdr:rowOff>219075</xdr:rowOff>
        </xdr:from>
        <xdr:to>
          <xdr:col>0</xdr:col>
          <xdr:colOff>342900</xdr:colOff>
          <xdr:row>196</xdr:row>
          <xdr:rowOff>9525</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800-00002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195</xdr:row>
          <xdr:rowOff>219075</xdr:rowOff>
        </xdr:from>
        <xdr:to>
          <xdr:col>1</xdr:col>
          <xdr:colOff>0</xdr:colOff>
          <xdr:row>197</xdr:row>
          <xdr:rowOff>9525</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800-00002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196</xdr:row>
          <xdr:rowOff>219075</xdr:rowOff>
        </xdr:from>
        <xdr:to>
          <xdr:col>1</xdr:col>
          <xdr:colOff>0</xdr:colOff>
          <xdr:row>198</xdr:row>
          <xdr:rowOff>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800-00002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202</xdr:row>
          <xdr:rowOff>9525</xdr:rowOff>
        </xdr:from>
        <xdr:to>
          <xdr:col>3</xdr:col>
          <xdr:colOff>1028700</xdr:colOff>
          <xdr:row>202</xdr:row>
          <xdr:rowOff>190500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800-00002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203</xdr:row>
          <xdr:rowOff>9525</xdr:rowOff>
        </xdr:from>
        <xdr:to>
          <xdr:col>3</xdr:col>
          <xdr:colOff>1076325</xdr:colOff>
          <xdr:row>204</xdr:row>
          <xdr:rowOff>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800-00002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204</xdr:row>
          <xdr:rowOff>9525</xdr:rowOff>
        </xdr:from>
        <xdr:to>
          <xdr:col>3</xdr:col>
          <xdr:colOff>1114425</xdr:colOff>
          <xdr:row>204</xdr:row>
          <xdr:rowOff>190500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800-00002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205</xdr:row>
          <xdr:rowOff>9525</xdr:rowOff>
        </xdr:from>
        <xdr:to>
          <xdr:col>3</xdr:col>
          <xdr:colOff>1095375</xdr:colOff>
          <xdr:row>205</xdr:row>
          <xdr:rowOff>180975</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800-00002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206</xdr:row>
          <xdr:rowOff>9525</xdr:rowOff>
        </xdr:from>
        <xdr:to>
          <xdr:col>3</xdr:col>
          <xdr:colOff>1057275</xdr:colOff>
          <xdr:row>206</xdr:row>
          <xdr:rowOff>180975</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800-00002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207</xdr:row>
          <xdr:rowOff>0</xdr:rowOff>
        </xdr:from>
        <xdr:to>
          <xdr:col>3</xdr:col>
          <xdr:colOff>1095375</xdr:colOff>
          <xdr:row>208</xdr:row>
          <xdr:rowOff>9525</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800-00002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208</xdr:row>
          <xdr:rowOff>9525</xdr:rowOff>
        </xdr:from>
        <xdr:to>
          <xdr:col>3</xdr:col>
          <xdr:colOff>1114425</xdr:colOff>
          <xdr:row>208</xdr:row>
          <xdr:rowOff>190500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800-00003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209</xdr:row>
          <xdr:rowOff>9525</xdr:rowOff>
        </xdr:from>
        <xdr:to>
          <xdr:col>3</xdr:col>
          <xdr:colOff>1095375</xdr:colOff>
          <xdr:row>209</xdr:row>
          <xdr:rowOff>180975</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800-00003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210</xdr:row>
          <xdr:rowOff>9525</xdr:rowOff>
        </xdr:from>
        <xdr:to>
          <xdr:col>3</xdr:col>
          <xdr:colOff>1076325</xdr:colOff>
          <xdr:row>211</xdr:row>
          <xdr:rowOff>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800-00003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211</xdr:row>
          <xdr:rowOff>9525</xdr:rowOff>
        </xdr:from>
        <xdr:to>
          <xdr:col>3</xdr:col>
          <xdr:colOff>1104900</xdr:colOff>
          <xdr:row>211</xdr:row>
          <xdr:rowOff>180975</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800-00003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212</xdr:row>
          <xdr:rowOff>9525</xdr:rowOff>
        </xdr:from>
        <xdr:to>
          <xdr:col>3</xdr:col>
          <xdr:colOff>1114425</xdr:colOff>
          <xdr:row>212</xdr:row>
          <xdr:rowOff>180975</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800-00003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202</xdr:row>
          <xdr:rowOff>9525</xdr:rowOff>
        </xdr:from>
        <xdr:to>
          <xdr:col>5</xdr:col>
          <xdr:colOff>9525</xdr:colOff>
          <xdr:row>202</xdr:row>
          <xdr:rowOff>190500</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800-00003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203</xdr:row>
          <xdr:rowOff>9525</xdr:rowOff>
        </xdr:from>
        <xdr:to>
          <xdr:col>5</xdr:col>
          <xdr:colOff>0</xdr:colOff>
          <xdr:row>203</xdr:row>
          <xdr:rowOff>180975</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800-00003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204</xdr:row>
          <xdr:rowOff>0</xdr:rowOff>
        </xdr:from>
        <xdr:to>
          <xdr:col>4</xdr:col>
          <xdr:colOff>1104900</xdr:colOff>
          <xdr:row>204</xdr:row>
          <xdr:rowOff>190500</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800-00003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205</xdr:row>
          <xdr:rowOff>9525</xdr:rowOff>
        </xdr:from>
        <xdr:to>
          <xdr:col>5</xdr:col>
          <xdr:colOff>0</xdr:colOff>
          <xdr:row>206</xdr:row>
          <xdr:rowOff>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800-00003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206</xdr:row>
          <xdr:rowOff>9525</xdr:rowOff>
        </xdr:from>
        <xdr:to>
          <xdr:col>4</xdr:col>
          <xdr:colOff>1095375</xdr:colOff>
          <xdr:row>206</xdr:row>
          <xdr:rowOff>190500</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800-00003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208</xdr:row>
          <xdr:rowOff>9525</xdr:rowOff>
        </xdr:from>
        <xdr:to>
          <xdr:col>4</xdr:col>
          <xdr:colOff>1104900</xdr:colOff>
          <xdr:row>208</xdr:row>
          <xdr:rowOff>190500</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800-00003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209</xdr:row>
          <xdr:rowOff>9525</xdr:rowOff>
        </xdr:from>
        <xdr:to>
          <xdr:col>4</xdr:col>
          <xdr:colOff>1114425</xdr:colOff>
          <xdr:row>209</xdr:row>
          <xdr:rowOff>180975</xdr:rowOff>
        </xdr:to>
        <xdr:sp macro="" textlink="">
          <xdr:nvSpPr>
            <xdr:cNvPr id="1083" name="Check Box 59" hidden="1">
              <a:extLst>
                <a:ext uri="{63B3BB69-23CF-44E3-9099-C40C66FF867C}">
                  <a14:compatExt spid="_x0000_s1083"/>
                </a:ext>
                <a:ext uri="{FF2B5EF4-FFF2-40B4-BE49-F238E27FC236}">
                  <a16:creationId xmlns:a16="http://schemas.microsoft.com/office/drawing/2014/main" id="{00000000-0008-0000-0800-00003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210</xdr:row>
          <xdr:rowOff>9525</xdr:rowOff>
        </xdr:from>
        <xdr:to>
          <xdr:col>4</xdr:col>
          <xdr:colOff>1095375</xdr:colOff>
          <xdr:row>210</xdr:row>
          <xdr:rowOff>190500</xdr:rowOff>
        </xdr:to>
        <xdr:sp macro="" textlink="">
          <xdr:nvSpPr>
            <xdr:cNvPr id="1084" name="Check Box 60" hidden="1">
              <a:extLst>
                <a:ext uri="{63B3BB69-23CF-44E3-9099-C40C66FF867C}">
                  <a14:compatExt spid="_x0000_s1084"/>
                </a:ext>
                <a:ext uri="{FF2B5EF4-FFF2-40B4-BE49-F238E27FC236}">
                  <a16:creationId xmlns:a16="http://schemas.microsoft.com/office/drawing/2014/main" id="{00000000-0008-0000-0800-00003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211</xdr:row>
          <xdr:rowOff>9525</xdr:rowOff>
        </xdr:from>
        <xdr:to>
          <xdr:col>4</xdr:col>
          <xdr:colOff>1114425</xdr:colOff>
          <xdr:row>211</xdr:row>
          <xdr:rowOff>190500</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0800-00003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212</xdr:row>
          <xdr:rowOff>9525</xdr:rowOff>
        </xdr:from>
        <xdr:to>
          <xdr:col>4</xdr:col>
          <xdr:colOff>1104900</xdr:colOff>
          <xdr:row>212</xdr:row>
          <xdr:rowOff>180975</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800-00003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 Type="http://schemas.openxmlformats.org/officeDocument/2006/relationships/drawing" Target="../drawings/drawing1.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2" Type="http://schemas.openxmlformats.org/officeDocument/2006/relationships/printerSettings" Target="../printerSettings/printerSettings2.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mailto:admissions@awesome.edu"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nces.ed.gov/ipeds/pdf/Reporting_Study_Abroad%20Students_5.31.17.pdf" TargetMode="External"/></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141.xml"/><Relationship Id="rId21" Type="http://schemas.openxmlformats.org/officeDocument/2006/relationships/ctrlProp" Target="../ctrlProps/ctrlProp45.xml"/><Relationship Id="rId42" Type="http://schemas.openxmlformats.org/officeDocument/2006/relationships/ctrlProp" Target="../ctrlProps/ctrlProp66.xml"/><Relationship Id="rId63" Type="http://schemas.openxmlformats.org/officeDocument/2006/relationships/ctrlProp" Target="../ctrlProps/ctrlProp87.xml"/><Relationship Id="rId84" Type="http://schemas.openxmlformats.org/officeDocument/2006/relationships/ctrlProp" Target="../ctrlProps/ctrlProp108.xml"/><Relationship Id="rId138" Type="http://schemas.openxmlformats.org/officeDocument/2006/relationships/ctrlProp" Target="../ctrlProps/ctrlProp162.xml"/><Relationship Id="rId159" Type="http://schemas.openxmlformats.org/officeDocument/2006/relationships/ctrlProp" Target="../ctrlProps/ctrlProp183.xml"/><Relationship Id="rId170" Type="http://schemas.openxmlformats.org/officeDocument/2006/relationships/ctrlProp" Target="../ctrlProps/ctrlProp194.xml"/><Relationship Id="rId107" Type="http://schemas.openxmlformats.org/officeDocument/2006/relationships/ctrlProp" Target="../ctrlProps/ctrlProp131.xml"/><Relationship Id="rId11" Type="http://schemas.openxmlformats.org/officeDocument/2006/relationships/ctrlProp" Target="../ctrlProps/ctrlProp35.xml"/><Relationship Id="rId32" Type="http://schemas.openxmlformats.org/officeDocument/2006/relationships/ctrlProp" Target="../ctrlProps/ctrlProp56.xml"/><Relationship Id="rId53" Type="http://schemas.openxmlformats.org/officeDocument/2006/relationships/ctrlProp" Target="../ctrlProps/ctrlProp77.xml"/><Relationship Id="rId74" Type="http://schemas.openxmlformats.org/officeDocument/2006/relationships/ctrlProp" Target="../ctrlProps/ctrlProp98.xml"/><Relationship Id="rId128" Type="http://schemas.openxmlformats.org/officeDocument/2006/relationships/ctrlProp" Target="../ctrlProps/ctrlProp152.xml"/><Relationship Id="rId149" Type="http://schemas.openxmlformats.org/officeDocument/2006/relationships/ctrlProp" Target="../ctrlProps/ctrlProp173.xml"/><Relationship Id="rId5" Type="http://schemas.openxmlformats.org/officeDocument/2006/relationships/ctrlProp" Target="../ctrlProps/ctrlProp29.xml"/><Relationship Id="rId95" Type="http://schemas.openxmlformats.org/officeDocument/2006/relationships/ctrlProp" Target="../ctrlProps/ctrlProp119.xml"/><Relationship Id="rId160" Type="http://schemas.openxmlformats.org/officeDocument/2006/relationships/ctrlProp" Target="../ctrlProps/ctrlProp184.xml"/><Relationship Id="rId22" Type="http://schemas.openxmlformats.org/officeDocument/2006/relationships/ctrlProp" Target="../ctrlProps/ctrlProp46.xml"/><Relationship Id="rId43" Type="http://schemas.openxmlformats.org/officeDocument/2006/relationships/ctrlProp" Target="../ctrlProps/ctrlProp67.xml"/><Relationship Id="rId64" Type="http://schemas.openxmlformats.org/officeDocument/2006/relationships/ctrlProp" Target="../ctrlProps/ctrlProp88.xml"/><Relationship Id="rId118" Type="http://schemas.openxmlformats.org/officeDocument/2006/relationships/ctrlProp" Target="../ctrlProps/ctrlProp142.xml"/><Relationship Id="rId139" Type="http://schemas.openxmlformats.org/officeDocument/2006/relationships/ctrlProp" Target="../ctrlProps/ctrlProp163.xml"/><Relationship Id="rId85" Type="http://schemas.openxmlformats.org/officeDocument/2006/relationships/ctrlProp" Target="../ctrlProps/ctrlProp109.xml"/><Relationship Id="rId150" Type="http://schemas.openxmlformats.org/officeDocument/2006/relationships/ctrlProp" Target="../ctrlProps/ctrlProp174.xml"/><Relationship Id="rId171" Type="http://schemas.openxmlformats.org/officeDocument/2006/relationships/ctrlProp" Target="../ctrlProps/ctrlProp195.xml"/><Relationship Id="rId12" Type="http://schemas.openxmlformats.org/officeDocument/2006/relationships/ctrlProp" Target="../ctrlProps/ctrlProp36.xml"/><Relationship Id="rId33" Type="http://schemas.openxmlformats.org/officeDocument/2006/relationships/ctrlProp" Target="../ctrlProps/ctrlProp57.xml"/><Relationship Id="rId108" Type="http://schemas.openxmlformats.org/officeDocument/2006/relationships/ctrlProp" Target="../ctrlProps/ctrlProp132.xml"/><Relationship Id="rId129" Type="http://schemas.openxmlformats.org/officeDocument/2006/relationships/ctrlProp" Target="../ctrlProps/ctrlProp153.xml"/><Relationship Id="rId54" Type="http://schemas.openxmlformats.org/officeDocument/2006/relationships/ctrlProp" Target="../ctrlProps/ctrlProp78.xml"/><Relationship Id="rId70" Type="http://schemas.openxmlformats.org/officeDocument/2006/relationships/ctrlProp" Target="../ctrlProps/ctrlProp94.xml"/><Relationship Id="rId75" Type="http://schemas.openxmlformats.org/officeDocument/2006/relationships/ctrlProp" Target="../ctrlProps/ctrlProp99.xml"/><Relationship Id="rId91" Type="http://schemas.openxmlformats.org/officeDocument/2006/relationships/ctrlProp" Target="../ctrlProps/ctrlProp115.xml"/><Relationship Id="rId96" Type="http://schemas.openxmlformats.org/officeDocument/2006/relationships/ctrlProp" Target="../ctrlProps/ctrlProp120.xml"/><Relationship Id="rId140" Type="http://schemas.openxmlformats.org/officeDocument/2006/relationships/ctrlProp" Target="../ctrlProps/ctrlProp164.xml"/><Relationship Id="rId145" Type="http://schemas.openxmlformats.org/officeDocument/2006/relationships/ctrlProp" Target="../ctrlProps/ctrlProp169.xml"/><Relationship Id="rId161" Type="http://schemas.openxmlformats.org/officeDocument/2006/relationships/ctrlProp" Target="../ctrlProps/ctrlProp185.xml"/><Relationship Id="rId166" Type="http://schemas.openxmlformats.org/officeDocument/2006/relationships/ctrlProp" Target="../ctrlProps/ctrlProp190.xml"/><Relationship Id="rId1" Type="http://schemas.openxmlformats.org/officeDocument/2006/relationships/printerSettings" Target="../printerSettings/printerSettings4.bin"/><Relationship Id="rId6" Type="http://schemas.openxmlformats.org/officeDocument/2006/relationships/ctrlProp" Target="../ctrlProps/ctrlProp30.xml"/><Relationship Id="rId23" Type="http://schemas.openxmlformats.org/officeDocument/2006/relationships/ctrlProp" Target="../ctrlProps/ctrlProp47.xml"/><Relationship Id="rId28" Type="http://schemas.openxmlformats.org/officeDocument/2006/relationships/ctrlProp" Target="../ctrlProps/ctrlProp52.xml"/><Relationship Id="rId49" Type="http://schemas.openxmlformats.org/officeDocument/2006/relationships/ctrlProp" Target="../ctrlProps/ctrlProp73.xml"/><Relationship Id="rId114" Type="http://schemas.openxmlformats.org/officeDocument/2006/relationships/ctrlProp" Target="../ctrlProps/ctrlProp138.xml"/><Relationship Id="rId119" Type="http://schemas.openxmlformats.org/officeDocument/2006/relationships/ctrlProp" Target="../ctrlProps/ctrlProp143.xml"/><Relationship Id="rId44" Type="http://schemas.openxmlformats.org/officeDocument/2006/relationships/ctrlProp" Target="../ctrlProps/ctrlProp68.xml"/><Relationship Id="rId60" Type="http://schemas.openxmlformats.org/officeDocument/2006/relationships/ctrlProp" Target="../ctrlProps/ctrlProp84.xml"/><Relationship Id="rId65" Type="http://schemas.openxmlformats.org/officeDocument/2006/relationships/ctrlProp" Target="../ctrlProps/ctrlProp89.xml"/><Relationship Id="rId81" Type="http://schemas.openxmlformats.org/officeDocument/2006/relationships/ctrlProp" Target="../ctrlProps/ctrlProp105.xml"/><Relationship Id="rId86" Type="http://schemas.openxmlformats.org/officeDocument/2006/relationships/ctrlProp" Target="../ctrlProps/ctrlProp110.xml"/><Relationship Id="rId130" Type="http://schemas.openxmlformats.org/officeDocument/2006/relationships/ctrlProp" Target="../ctrlProps/ctrlProp154.xml"/><Relationship Id="rId135" Type="http://schemas.openxmlformats.org/officeDocument/2006/relationships/ctrlProp" Target="../ctrlProps/ctrlProp159.xml"/><Relationship Id="rId151" Type="http://schemas.openxmlformats.org/officeDocument/2006/relationships/ctrlProp" Target="../ctrlProps/ctrlProp175.xml"/><Relationship Id="rId156" Type="http://schemas.openxmlformats.org/officeDocument/2006/relationships/ctrlProp" Target="../ctrlProps/ctrlProp180.xml"/><Relationship Id="rId172" Type="http://schemas.openxmlformats.org/officeDocument/2006/relationships/ctrlProp" Target="../ctrlProps/ctrlProp196.xml"/><Relationship Id="rId13" Type="http://schemas.openxmlformats.org/officeDocument/2006/relationships/ctrlProp" Target="../ctrlProps/ctrlProp37.xml"/><Relationship Id="rId18" Type="http://schemas.openxmlformats.org/officeDocument/2006/relationships/ctrlProp" Target="../ctrlProps/ctrlProp42.xml"/><Relationship Id="rId39" Type="http://schemas.openxmlformats.org/officeDocument/2006/relationships/ctrlProp" Target="../ctrlProps/ctrlProp63.xml"/><Relationship Id="rId109" Type="http://schemas.openxmlformats.org/officeDocument/2006/relationships/ctrlProp" Target="../ctrlProps/ctrlProp133.xml"/><Relationship Id="rId34" Type="http://schemas.openxmlformats.org/officeDocument/2006/relationships/ctrlProp" Target="../ctrlProps/ctrlProp58.xml"/><Relationship Id="rId50" Type="http://schemas.openxmlformats.org/officeDocument/2006/relationships/ctrlProp" Target="../ctrlProps/ctrlProp74.xml"/><Relationship Id="rId55" Type="http://schemas.openxmlformats.org/officeDocument/2006/relationships/ctrlProp" Target="../ctrlProps/ctrlProp79.xml"/><Relationship Id="rId76" Type="http://schemas.openxmlformats.org/officeDocument/2006/relationships/ctrlProp" Target="../ctrlProps/ctrlProp100.xml"/><Relationship Id="rId97" Type="http://schemas.openxmlformats.org/officeDocument/2006/relationships/ctrlProp" Target="../ctrlProps/ctrlProp121.xml"/><Relationship Id="rId104" Type="http://schemas.openxmlformats.org/officeDocument/2006/relationships/ctrlProp" Target="../ctrlProps/ctrlProp128.xml"/><Relationship Id="rId120" Type="http://schemas.openxmlformats.org/officeDocument/2006/relationships/ctrlProp" Target="../ctrlProps/ctrlProp144.xml"/><Relationship Id="rId125" Type="http://schemas.openxmlformats.org/officeDocument/2006/relationships/ctrlProp" Target="../ctrlProps/ctrlProp149.xml"/><Relationship Id="rId141" Type="http://schemas.openxmlformats.org/officeDocument/2006/relationships/ctrlProp" Target="../ctrlProps/ctrlProp165.xml"/><Relationship Id="rId146" Type="http://schemas.openxmlformats.org/officeDocument/2006/relationships/ctrlProp" Target="../ctrlProps/ctrlProp170.xml"/><Relationship Id="rId167" Type="http://schemas.openxmlformats.org/officeDocument/2006/relationships/ctrlProp" Target="../ctrlProps/ctrlProp191.xml"/><Relationship Id="rId7" Type="http://schemas.openxmlformats.org/officeDocument/2006/relationships/ctrlProp" Target="../ctrlProps/ctrlProp31.xml"/><Relationship Id="rId71" Type="http://schemas.openxmlformats.org/officeDocument/2006/relationships/ctrlProp" Target="../ctrlProps/ctrlProp95.xml"/><Relationship Id="rId92" Type="http://schemas.openxmlformats.org/officeDocument/2006/relationships/ctrlProp" Target="../ctrlProps/ctrlProp116.xml"/><Relationship Id="rId162" Type="http://schemas.openxmlformats.org/officeDocument/2006/relationships/ctrlProp" Target="../ctrlProps/ctrlProp186.xml"/><Relationship Id="rId2" Type="http://schemas.openxmlformats.org/officeDocument/2006/relationships/drawing" Target="../drawings/drawing2.xml"/><Relationship Id="rId29" Type="http://schemas.openxmlformats.org/officeDocument/2006/relationships/ctrlProp" Target="../ctrlProps/ctrlProp53.xml"/><Relationship Id="rId24" Type="http://schemas.openxmlformats.org/officeDocument/2006/relationships/ctrlProp" Target="../ctrlProps/ctrlProp48.xml"/><Relationship Id="rId40" Type="http://schemas.openxmlformats.org/officeDocument/2006/relationships/ctrlProp" Target="../ctrlProps/ctrlProp64.xml"/><Relationship Id="rId45" Type="http://schemas.openxmlformats.org/officeDocument/2006/relationships/ctrlProp" Target="../ctrlProps/ctrlProp69.xml"/><Relationship Id="rId66" Type="http://schemas.openxmlformats.org/officeDocument/2006/relationships/ctrlProp" Target="../ctrlProps/ctrlProp90.xml"/><Relationship Id="rId87" Type="http://schemas.openxmlformats.org/officeDocument/2006/relationships/ctrlProp" Target="../ctrlProps/ctrlProp111.xml"/><Relationship Id="rId110" Type="http://schemas.openxmlformats.org/officeDocument/2006/relationships/ctrlProp" Target="../ctrlProps/ctrlProp134.xml"/><Relationship Id="rId115" Type="http://schemas.openxmlformats.org/officeDocument/2006/relationships/ctrlProp" Target="../ctrlProps/ctrlProp139.xml"/><Relationship Id="rId131" Type="http://schemas.openxmlformats.org/officeDocument/2006/relationships/ctrlProp" Target="../ctrlProps/ctrlProp155.xml"/><Relationship Id="rId136" Type="http://schemas.openxmlformats.org/officeDocument/2006/relationships/ctrlProp" Target="../ctrlProps/ctrlProp160.xml"/><Relationship Id="rId157" Type="http://schemas.openxmlformats.org/officeDocument/2006/relationships/ctrlProp" Target="../ctrlProps/ctrlProp181.xml"/><Relationship Id="rId61" Type="http://schemas.openxmlformats.org/officeDocument/2006/relationships/ctrlProp" Target="../ctrlProps/ctrlProp85.xml"/><Relationship Id="rId82" Type="http://schemas.openxmlformats.org/officeDocument/2006/relationships/ctrlProp" Target="../ctrlProps/ctrlProp106.xml"/><Relationship Id="rId152" Type="http://schemas.openxmlformats.org/officeDocument/2006/relationships/ctrlProp" Target="../ctrlProps/ctrlProp176.xml"/><Relationship Id="rId19" Type="http://schemas.openxmlformats.org/officeDocument/2006/relationships/ctrlProp" Target="../ctrlProps/ctrlProp43.xml"/><Relationship Id="rId14" Type="http://schemas.openxmlformats.org/officeDocument/2006/relationships/ctrlProp" Target="../ctrlProps/ctrlProp38.xml"/><Relationship Id="rId30" Type="http://schemas.openxmlformats.org/officeDocument/2006/relationships/ctrlProp" Target="../ctrlProps/ctrlProp54.xml"/><Relationship Id="rId35" Type="http://schemas.openxmlformats.org/officeDocument/2006/relationships/ctrlProp" Target="../ctrlProps/ctrlProp59.xml"/><Relationship Id="rId56" Type="http://schemas.openxmlformats.org/officeDocument/2006/relationships/ctrlProp" Target="../ctrlProps/ctrlProp80.xml"/><Relationship Id="rId77" Type="http://schemas.openxmlformats.org/officeDocument/2006/relationships/ctrlProp" Target="../ctrlProps/ctrlProp101.xml"/><Relationship Id="rId100" Type="http://schemas.openxmlformats.org/officeDocument/2006/relationships/ctrlProp" Target="../ctrlProps/ctrlProp124.xml"/><Relationship Id="rId105" Type="http://schemas.openxmlformats.org/officeDocument/2006/relationships/ctrlProp" Target="../ctrlProps/ctrlProp129.xml"/><Relationship Id="rId126" Type="http://schemas.openxmlformats.org/officeDocument/2006/relationships/ctrlProp" Target="../ctrlProps/ctrlProp150.xml"/><Relationship Id="rId147" Type="http://schemas.openxmlformats.org/officeDocument/2006/relationships/ctrlProp" Target="../ctrlProps/ctrlProp171.xml"/><Relationship Id="rId168" Type="http://schemas.openxmlformats.org/officeDocument/2006/relationships/ctrlProp" Target="../ctrlProps/ctrlProp192.xml"/><Relationship Id="rId8" Type="http://schemas.openxmlformats.org/officeDocument/2006/relationships/ctrlProp" Target="../ctrlProps/ctrlProp32.xml"/><Relationship Id="rId51" Type="http://schemas.openxmlformats.org/officeDocument/2006/relationships/ctrlProp" Target="../ctrlProps/ctrlProp75.xml"/><Relationship Id="rId72" Type="http://schemas.openxmlformats.org/officeDocument/2006/relationships/ctrlProp" Target="../ctrlProps/ctrlProp96.xml"/><Relationship Id="rId93" Type="http://schemas.openxmlformats.org/officeDocument/2006/relationships/ctrlProp" Target="../ctrlProps/ctrlProp117.xml"/><Relationship Id="rId98" Type="http://schemas.openxmlformats.org/officeDocument/2006/relationships/ctrlProp" Target="../ctrlProps/ctrlProp122.xml"/><Relationship Id="rId121" Type="http://schemas.openxmlformats.org/officeDocument/2006/relationships/ctrlProp" Target="../ctrlProps/ctrlProp145.xml"/><Relationship Id="rId142" Type="http://schemas.openxmlformats.org/officeDocument/2006/relationships/ctrlProp" Target="../ctrlProps/ctrlProp166.xml"/><Relationship Id="rId163" Type="http://schemas.openxmlformats.org/officeDocument/2006/relationships/ctrlProp" Target="../ctrlProps/ctrlProp187.xml"/><Relationship Id="rId3" Type="http://schemas.openxmlformats.org/officeDocument/2006/relationships/vmlDrawing" Target="../drawings/vmlDrawing2.vml"/><Relationship Id="rId25" Type="http://schemas.openxmlformats.org/officeDocument/2006/relationships/ctrlProp" Target="../ctrlProps/ctrlProp49.xml"/><Relationship Id="rId46" Type="http://schemas.openxmlformats.org/officeDocument/2006/relationships/ctrlProp" Target="../ctrlProps/ctrlProp70.xml"/><Relationship Id="rId67" Type="http://schemas.openxmlformats.org/officeDocument/2006/relationships/ctrlProp" Target="../ctrlProps/ctrlProp91.xml"/><Relationship Id="rId116" Type="http://schemas.openxmlformats.org/officeDocument/2006/relationships/ctrlProp" Target="../ctrlProps/ctrlProp140.xml"/><Relationship Id="rId137" Type="http://schemas.openxmlformats.org/officeDocument/2006/relationships/ctrlProp" Target="../ctrlProps/ctrlProp161.xml"/><Relationship Id="rId158" Type="http://schemas.openxmlformats.org/officeDocument/2006/relationships/ctrlProp" Target="../ctrlProps/ctrlProp182.xml"/><Relationship Id="rId20" Type="http://schemas.openxmlformats.org/officeDocument/2006/relationships/ctrlProp" Target="../ctrlProps/ctrlProp44.xml"/><Relationship Id="rId41" Type="http://schemas.openxmlformats.org/officeDocument/2006/relationships/ctrlProp" Target="../ctrlProps/ctrlProp65.xml"/><Relationship Id="rId62" Type="http://schemas.openxmlformats.org/officeDocument/2006/relationships/ctrlProp" Target="../ctrlProps/ctrlProp86.xml"/><Relationship Id="rId83" Type="http://schemas.openxmlformats.org/officeDocument/2006/relationships/ctrlProp" Target="../ctrlProps/ctrlProp107.xml"/><Relationship Id="rId88" Type="http://schemas.openxmlformats.org/officeDocument/2006/relationships/ctrlProp" Target="../ctrlProps/ctrlProp112.xml"/><Relationship Id="rId111" Type="http://schemas.openxmlformats.org/officeDocument/2006/relationships/ctrlProp" Target="../ctrlProps/ctrlProp135.xml"/><Relationship Id="rId132" Type="http://schemas.openxmlformats.org/officeDocument/2006/relationships/ctrlProp" Target="../ctrlProps/ctrlProp156.xml"/><Relationship Id="rId153" Type="http://schemas.openxmlformats.org/officeDocument/2006/relationships/ctrlProp" Target="../ctrlProps/ctrlProp177.xml"/><Relationship Id="rId15" Type="http://schemas.openxmlformats.org/officeDocument/2006/relationships/ctrlProp" Target="../ctrlProps/ctrlProp39.xml"/><Relationship Id="rId36" Type="http://schemas.openxmlformats.org/officeDocument/2006/relationships/ctrlProp" Target="../ctrlProps/ctrlProp60.xml"/><Relationship Id="rId57" Type="http://schemas.openxmlformats.org/officeDocument/2006/relationships/ctrlProp" Target="../ctrlProps/ctrlProp81.xml"/><Relationship Id="rId106" Type="http://schemas.openxmlformats.org/officeDocument/2006/relationships/ctrlProp" Target="../ctrlProps/ctrlProp130.xml"/><Relationship Id="rId127" Type="http://schemas.openxmlformats.org/officeDocument/2006/relationships/ctrlProp" Target="../ctrlProps/ctrlProp151.xml"/><Relationship Id="rId10" Type="http://schemas.openxmlformats.org/officeDocument/2006/relationships/ctrlProp" Target="../ctrlProps/ctrlProp34.xml"/><Relationship Id="rId31" Type="http://schemas.openxmlformats.org/officeDocument/2006/relationships/ctrlProp" Target="../ctrlProps/ctrlProp55.xml"/><Relationship Id="rId52" Type="http://schemas.openxmlformats.org/officeDocument/2006/relationships/ctrlProp" Target="../ctrlProps/ctrlProp76.xml"/><Relationship Id="rId73" Type="http://schemas.openxmlformats.org/officeDocument/2006/relationships/ctrlProp" Target="../ctrlProps/ctrlProp97.xml"/><Relationship Id="rId78" Type="http://schemas.openxmlformats.org/officeDocument/2006/relationships/ctrlProp" Target="../ctrlProps/ctrlProp102.xml"/><Relationship Id="rId94" Type="http://schemas.openxmlformats.org/officeDocument/2006/relationships/ctrlProp" Target="../ctrlProps/ctrlProp118.xml"/><Relationship Id="rId99" Type="http://schemas.openxmlformats.org/officeDocument/2006/relationships/ctrlProp" Target="../ctrlProps/ctrlProp123.xml"/><Relationship Id="rId101" Type="http://schemas.openxmlformats.org/officeDocument/2006/relationships/ctrlProp" Target="../ctrlProps/ctrlProp125.xml"/><Relationship Id="rId122" Type="http://schemas.openxmlformats.org/officeDocument/2006/relationships/ctrlProp" Target="../ctrlProps/ctrlProp146.xml"/><Relationship Id="rId143" Type="http://schemas.openxmlformats.org/officeDocument/2006/relationships/ctrlProp" Target="../ctrlProps/ctrlProp167.xml"/><Relationship Id="rId148" Type="http://schemas.openxmlformats.org/officeDocument/2006/relationships/ctrlProp" Target="../ctrlProps/ctrlProp172.xml"/><Relationship Id="rId164" Type="http://schemas.openxmlformats.org/officeDocument/2006/relationships/ctrlProp" Target="../ctrlProps/ctrlProp188.xml"/><Relationship Id="rId169" Type="http://schemas.openxmlformats.org/officeDocument/2006/relationships/ctrlProp" Target="../ctrlProps/ctrlProp193.xml"/><Relationship Id="rId4" Type="http://schemas.openxmlformats.org/officeDocument/2006/relationships/ctrlProp" Target="../ctrlProps/ctrlProp28.xml"/><Relationship Id="rId9" Type="http://schemas.openxmlformats.org/officeDocument/2006/relationships/ctrlProp" Target="../ctrlProps/ctrlProp33.xml"/><Relationship Id="rId26" Type="http://schemas.openxmlformats.org/officeDocument/2006/relationships/ctrlProp" Target="../ctrlProps/ctrlProp50.xml"/><Relationship Id="rId47" Type="http://schemas.openxmlformats.org/officeDocument/2006/relationships/ctrlProp" Target="../ctrlProps/ctrlProp71.xml"/><Relationship Id="rId68" Type="http://schemas.openxmlformats.org/officeDocument/2006/relationships/ctrlProp" Target="../ctrlProps/ctrlProp92.xml"/><Relationship Id="rId89" Type="http://schemas.openxmlformats.org/officeDocument/2006/relationships/ctrlProp" Target="../ctrlProps/ctrlProp113.xml"/><Relationship Id="rId112" Type="http://schemas.openxmlformats.org/officeDocument/2006/relationships/ctrlProp" Target="../ctrlProps/ctrlProp136.xml"/><Relationship Id="rId133" Type="http://schemas.openxmlformats.org/officeDocument/2006/relationships/ctrlProp" Target="../ctrlProps/ctrlProp157.xml"/><Relationship Id="rId154" Type="http://schemas.openxmlformats.org/officeDocument/2006/relationships/ctrlProp" Target="../ctrlProps/ctrlProp178.xml"/><Relationship Id="rId16" Type="http://schemas.openxmlformats.org/officeDocument/2006/relationships/ctrlProp" Target="../ctrlProps/ctrlProp40.xml"/><Relationship Id="rId37" Type="http://schemas.openxmlformats.org/officeDocument/2006/relationships/ctrlProp" Target="../ctrlProps/ctrlProp61.xml"/><Relationship Id="rId58" Type="http://schemas.openxmlformats.org/officeDocument/2006/relationships/ctrlProp" Target="../ctrlProps/ctrlProp82.xml"/><Relationship Id="rId79" Type="http://schemas.openxmlformats.org/officeDocument/2006/relationships/ctrlProp" Target="../ctrlProps/ctrlProp103.xml"/><Relationship Id="rId102" Type="http://schemas.openxmlformats.org/officeDocument/2006/relationships/ctrlProp" Target="../ctrlProps/ctrlProp126.xml"/><Relationship Id="rId123" Type="http://schemas.openxmlformats.org/officeDocument/2006/relationships/ctrlProp" Target="../ctrlProps/ctrlProp147.xml"/><Relationship Id="rId144" Type="http://schemas.openxmlformats.org/officeDocument/2006/relationships/ctrlProp" Target="../ctrlProps/ctrlProp168.xml"/><Relationship Id="rId90" Type="http://schemas.openxmlformats.org/officeDocument/2006/relationships/ctrlProp" Target="../ctrlProps/ctrlProp114.xml"/><Relationship Id="rId165" Type="http://schemas.openxmlformats.org/officeDocument/2006/relationships/ctrlProp" Target="../ctrlProps/ctrlProp189.xml"/><Relationship Id="rId27" Type="http://schemas.openxmlformats.org/officeDocument/2006/relationships/ctrlProp" Target="../ctrlProps/ctrlProp51.xml"/><Relationship Id="rId48" Type="http://schemas.openxmlformats.org/officeDocument/2006/relationships/ctrlProp" Target="../ctrlProps/ctrlProp72.xml"/><Relationship Id="rId69" Type="http://schemas.openxmlformats.org/officeDocument/2006/relationships/ctrlProp" Target="../ctrlProps/ctrlProp93.xml"/><Relationship Id="rId113" Type="http://schemas.openxmlformats.org/officeDocument/2006/relationships/ctrlProp" Target="../ctrlProps/ctrlProp137.xml"/><Relationship Id="rId134" Type="http://schemas.openxmlformats.org/officeDocument/2006/relationships/ctrlProp" Target="../ctrlProps/ctrlProp158.xml"/><Relationship Id="rId80" Type="http://schemas.openxmlformats.org/officeDocument/2006/relationships/ctrlProp" Target="../ctrlProps/ctrlProp104.xml"/><Relationship Id="rId155" Type="http://schemas.openxmlformats.org/officeDocument/2006/relationships/ctrlProp" Target="../ctrlProps/ctrlProp179.xml"/><Relationship Id="rId17" Type="http://schemas.openxmlformats.org/officeDocument/2006/relationships/ctrlProp" Target="../ctrlProps/ctrlProp41.xml"/><Relationship Id="rId38" Type="http://schemas.openxmlformats.org/officeDocument/2006/relationships/ctrlProp" Target="../ctrlProps/ctrlProp62.xml"/><Relationship Id="rId59" Type="http://schemas.openxmlformats.org/officeDocument/2006/relationships/ctrlProp" Target="../ctrlProps/ctrlProp83.xml"/><Relationship Id="rId103" Type="http://schemas.openxmlformats.org/officeDocument/2006/relationships/ctrlProp" Target="../ctrlProps/ctrlProp127.xml"/><Relationship Id="rId124" Type="http://schemas.openxmlformats.org/officeDocument/2006/relationships/ctrlProp" Target="../ctrlProps/ctrlProp148.xml"/></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205.xml"/><Relationship Id="rId18" Type="http://schemas.openxmlformats.org/officeDocument/2006/relationships/ctrlProp" Target="../ctrlProps/ctrlProp210.xml"/><Relationship Id="rId26" Type="http://schemas.openxmlformats.org/officeDocument/2006/relationships/ctrlProp" Target="../ctrlProps/ctrlProp218.xml"/><Relationship Id="rId39" Type="http://schemas.openxmlformats.org/officeDocument/2006/relationships/ctrlProp" Target="../ctrlProps/ctrlProp231.xml"/><Relationship Id="rId21" Type="http://schemas.openxmlformats.org/officeDocument/2006/relationships/ctrlProp" Target="../ctrlProps/ctrlProp213.xml"/><Relationship Id="rId34" Type="http://schemas.openxmlformats.org/officeDocument/2006/relationships/ctrlProp" Target="../ctrlProps/ctrlProp226.xml"/><Relationship Id="rId42" Type="http://schemas.openxmlformats.org/officeDocument/2006/relationships/ctrlProp" Target="../ctrlProps/ctrlProp234.xml"/><Relationship Id="rId47" Type="http://schemas.openxmlformats.org/officeDocument/2006/relationships/ctrlProp" Target="../ctrlProps/ctrlProp239.xml"/><Relationship Id="rId7" Type="http://schemas.openxmlformats.org/officeDocument/2006/relationships/ctrlProp" Target="../ctrlProps/ctrlProp199.xml"/><Relationship Id="rId2" Type="http://schemas.openxmlformats.org/officeDocument/2006/relationships/printerSettings" Target="../printerSettings/printerSettings5.bin"/><Relationship Id="rId16" Type="http://schemas.openxmlformats.org/officeDocument/2006/relationships/ctrlProp" Target="../ctrlProps/ctrlProp208.xml"/><Relationship Id="rId29" Type="http://schemas.openxmlformats.org/officeDocument/2006/relationships/ctrlProp" Target="../ctrlProps/ctrlProp221.xml"/><Relationship Id="rId1" Type="http://schemas.openxmlformats.org/officeDocument/2006/relationships/hyperlink" Target="http://www.sample.edu/military" TargetMode="External"/><Relationship Id="rId6" Type="http://schemas.openxmlformats.org/officeDocument/2006/relationships/ctrlProp" Target="../ctrlProps/ctrlProp198.xml"/><Relationship Id="rId11" Type="http://schemas.openxmlformats.org/officeDocument/2006/relationships/ctrlProp" Target="../ctrlProps/ctrlProp203.xml"/><Relationship Id="rId24" Type="http://schemas.openxmlformats.org/officeDocument/2006/relationships/ctrlProp" Target="../ctrlProps/ctrlProp216.xml"/><Relationship Id="rId32" Type="http://schemas.openxmlformats.org/officeDocument/2006/relationships/ctrlProp" Target="../ctrlProps/ctrlProp224.xml"/><Relationship Id="rId37" Type="http://schemas.openxmlformats.org/officeDocument/2006/relationships/ctrlProp" Target="../ctrlProps/ctrlProp229.xml"/><Relationship Id="rId40" Type="http://schemas.openxmlformats.org/officeDocument/2006/relationships/ctrlProp" Target="../ctrlProps/ctrlProp232.xml"/><Relationship Id="rId45" Type="http://schemas.openxmlformats.org/officeDocument/2006/relationships/ctrlProp" Target="../ctrlProps/ctrlProp237.xml"/><Relationship Id="rId5" Type="http://schemas.openxmlformats.org/officeDocument/2006/relationships/ctrlProp" Target="../ctrlProps/ctrlProp197.xml"/><Relationship Id="rId15" Type="http://schemas.openxmlformats.org/officeDocument/2006/relationships/ctrlProp" Target="../ctrlProps/ctrlProp207.xml"/><Relationship Id="rId23" Type="http://schemas.openxmlformats.org/officeDocument/2006/relationships/ctrlProp" Target="../ctrlProps/ctrlProp215.xml"/><Relationship Id="rId28" Type="http://schemas.openxmlformats.org/officeDocument/2006/relationships/ctrlProp" Target="../ctrlProps/ctrlProp220.xml"/><Relationship Id="rId36" Type="http://schemas.openxmlformats.org/officeDocument/2006/relationships/ctrlProp" Target="../ctrlProps/ctrlProp228.xml"/><Relationship Id="rId10" Type="http://schemas.openxmlformats.org/officeDocument/2006/relationships/ctrlProp" Target="../ctrlProps/ctrlProp202.xml"/><Relationship Id="rId19" Type="http://schemas.openxmlformats.org/officeDocument/2006/relationships/ctrlProp" Target="../ctrlProps/ctrlProp211.xml"/><Relationship Id="rId31" Type="http://schemas.openxmlformats.org/officeDocument/2006/relationships/ctrlProp" Target="../ctrlProps/ctrlProp223.xml"/><Relationship Id="rId44" Type="http://schemas.openxmlformats.org/officeDocument/2006/relationships/ctrlProp" Target="../ctrlProps/ctrlProp236.xml"/><Relationship Id="rId4" Type="http://schemas.openxmlformats.org/officeDocument/2006/relationships/vmlDrawing" Target="../drawings/vmlDrawing3.vml"/><Relationship Id="rId9" Type="http://schemas.openxmlformats.org/officeDocument/2006/relationships/ctrlProp" Target="../ctrlProps/ctrlProp201.xml"/><Relationship Id="rId14" Type="http://schemas.openxmlformats.org/officeDocument/2006/relationships/ctrlProp" Target="../ctrlProps/ctrlProp206.xml"/><Relationship Id="rId22" Type="http://schemas.openxmlformats.org/officeDocument/2006/relationships/ctrlProp" Target="../ctrlProps/ctrlProp214.xml"/><Relationship Id="rId27" Type="http://schemas.openxmlformats.org/officeDocument/2006/relationships/ctrlProp" Target="../ctrlProps/ctrlProp219.xml"/><Relationship Id="rId30" Type="http://schemas.openxmlformats.org/officeDocument/2006/relationships/ctrlProp" Target="../ctrlProps/ctrlProp222.xml"/><Relationship Id="rId35" Type="http://schemas.openxmlformats.org/officeDocument/2006/relationships/ctrlProp" Target="../ctrlProps/ctrlProp227.xml"/><Relationship Id="rId43" Type="http://schemas.openxmlformats.org/officeDocument/2006/relationships/ctrlProp" Target="../ctrlProps/ctrlProp235.xml"/><Relationship Id="rId48" Type="http://schemas.openxmlformats.org/officeDocument/2006/relationships/ctrlProp" Target="../ctrlProps/ctrlProp240.xml"/><Relationship Id="rId8" Type="http://schemas.openxmlformats.org/officeDocument/2006/relationships/ctrlProp" Target="../ctrlProps/ctrlProp200.xml"/><Relationship Id="rId3" Type="http://schemas.openxmlformats.org/officeDocument/2006/relationships/drawing" Target="../drawings/drawing3.xml"/><Relationship Id="rId12" Type="http://schemas.openxmlformats.org/officeDocument/2006/relationships/ctrlProp" Target="../ctrlProps/ctrlProp204.xml"/><Relationship Id="rId17" Type="http://schemas.openxmlformats.org/officeDocument/2006/relationships/ctrlProp" Target="../ctrlProps/ctrlProp209.xml"/><Relationship Id="rId25" Type="http://schemas.openxmlformats.org/officeDocument/2006/relationships/ctrlProp" Target="../ctrlProps/ctrlProp217.xml"/><Relationship Id="rId33" Type="http://schemas.openxmlformats.org/officeDocument/2006/relationships/ctrlProp" Target="../ctrlProps/ctrlProp225.xml"/><Relationship Id="rId38" Type="http://schemas.openxmlformats.org/officeDocument/2006/relationships/ctrlProp" Target="../ctrlProps/ctrlProp230.xml"/><Relationship Id="rId46" Type="http://schemas.openxmlformats.org/officeDocument/2006/relationships/ctrlProp" Target="../ctrlProps/ctrlProp238.xml"/><Relationship Id="rId20" Type="http://schemas.openxmlformats.org/officeDocument/2006/relationships/ctrlProp" Target="../ctrlProps/ctrlProp212.xml"/><Relationship Id="rId41" Type="http://schemas.openxmlformats.org/officeDocument/2006/relationships/ctrlProp" Target="../ctrlProps/ctrlProp233.xml"/></Relationships>
</file>

<file path=xl/worksheets/_rels/sheet6.xml.rels><?xml version="1.0" encoding="UTF-8" standalone="yes"?>
<Relationships xmlns="http://schemas.openxmlformats.org/package/2006/relationships"><Relationship Id="rId13" Type="http://schemas.openxmlformats.org/officeDocument/2006/relationships/ctrlProp" Target="../ctrlProps/ctrlProp250.xml"/><Relationship Id="rId18" Type="http://schemas.openxmlformats.org/officeDocument/2006/relationships/ctrlProp" Target="../ctrlProps/ctrlProp255.xml"/><Relationship Id="rId26" Type="http://schemas.openxmlformats.org/officeDocument/2006/relationships/ctrlProp" Target="../ctrlProps/ctrlProp263.xml"/><Relationship Id="rId3" Type="http://schemas.openxmlformats.org/officeDocument/2006/relationships/vmlDrawing" Target="../drawings/vmlDrawing4.vml"/><Relationship Id="rId21" Type="http://schemas.openxmlformats.org/officeDocument/2006/relationships/ctrlProp" Target="../ctrlProps/ctrlProp258.xml"/><Relationship Id="rId34" Type="http://schemas.openxmlformats.org/officeDocument/2006/relationships/ctrlProp" Target="../ctrlProps/ctrlProp271.xml"/><Relationship Id="rId7" Type="http://schemas.openxmlformats.org/officeDocument/2006/relationships/ctrlProp" Target="../ctrlProps/ctrlProp244.xml"/><Relationship Id="rId12" Type="http://schemas.openxmlformats.org/officeDocument/2006/relationships/ctrlProp" Target="../ctrlProps/ctrlProp249.xml"/><Relationship Id="rId17" Type="http://schemas.openxmlformats.org/officeDocument/2006/relationships/ctrlProp" Target="../ctrlProps/ctrlProp254.xml"/><Relationship Id="rId25" Type="http://schemas.openxmlformats.org/officeDocument/2006/relationships/ctrlProp" Target="../ctrlProps/ctrlProp262.xml"/><Relationship Id="rId33" Type="http://schemas.openxmlformats.org/officeDocument/2006/relationships/ctrlProp" Target="../ctrlProps/ctrlProp270.xml"/><Relationship Id="rId2" Type="http://schemas.openxmlformats.org/officeDocument/2006/relationships/drawing" Target="../drawings/drawing4.xml"/><Relationship Id="rId16" Type="http://schemas.openxmlformats.org/officeDocument/2006/relationships/ctrlProp" Target="../ctrlProps/ctrlProp253.xml"/><Relationship Id="rId20" Type="http://schemas.openxmlformats.org/officeDocument/2006/relationships/ctrlProp" Target="../ctrlProps/ctrlProp257.xml"/><Relationship Id="rId29" Type="http://schemas.openxmlformats.org/officeDocument/2006/relationships/ctrlProp" Target="../ctrlProps/ctrlProp266.xml"/><Relationship Id="rId1" Type="http://schemas.openxmlformats.org/officeDocument/2006/relationships/printerSettings" Target="../printerSettings/printerSettings6.bin"/><Relationship Id="rId6" Type="http://schemas.openxmlformats.org/officeDocument/2006/relationships/ctrlProp" Target="../ctrlProps/ctrlProp243.xml"/><Relationship Id="rId11" Type="http://schemas.openxmlformats.org/officeDocument/2006/relationships/ctrlProp" Target="../ctrlProps/ctrlProp248.xml"/><Relationship Id="rId24" Type="http://schemas.openxmlformats.org/officeDocument/2006/relationships/ctrlProp" Target="../ctrlProps/ctrlProp261.xml"/><Relationship Id="rId32" Type="http://schemas.openxmlformats.org/officeDocument/2006/relationships/ctrlProp" Target="../ctrlProps/ctrlProp269.xml"/><Relationship Id="rId5" Type="http://schemas.openxmlformats.org/officeDocument/2006/relationships/ctrlProp" Target="../ctrlProps/ctrlProp242.xml"/><Relationship Id="rId15" Type="http://schemas.openxmlformats.org/officeDocument/2006/relationships/ctrlProp" Target="../ctrlProps/ctrlProp252.xml"/><Relationship Id="rId23" Type="http://schemas.openxmlformats.org/officeDocument/2006/relationships/ctrlProp" Target="../ctrlProps/ctrlProp260.xml"/><Relationship Id="rId28" Type="http://schemas.openxmlformats.org/officeDocument/2006/relationships/ctrlProp" Target="../ctrlProps/ctrlProp265.xml"/><Relationship Id="rId10" Type="http://schemas.openxmlformats.org/officeDocument/2006/relationships/ctrlProp" Target="../ctrlProps/ctrlProp247.xml"/><Relationship Id="rId19" Type="http://schemas.openxmlformats.org/officeDocument/2006/relationships/ctrlProp" Target="../ctrlProps/ctrlProp256.xml"/><Relationship Id="rId31" Type="http://schemas.openxmlformats.org/officeDocument/2006/relationships/ctrlProp" Target="../ctrlProps/ctrlProp268.xml"/><Relationship Id="rId4" Type="http://schemas.openxmlformats.org/officeDocument/2006/relationships/ctrlProp" Target="../ctrlProps/ctrlProp241.xml"/><Relationship Id="rId9" Type="http://schemas.openxmlformats.org/officeDocument/2006/relationships/ctrlProp" Target="../ctrlProps/ctrlProp246.xml"/><Relationship Id="rId14" Type="http://schemas.openxmlformats.org/officeDocument/2006/relationships/ctrlProp" Target="../ctrlProps/ctrlProp251.xml"/><Relationship Id="rId22" Type="http://schemas.openxmlformats.org/officeDocument/2006/relationships/ctrlProp" Target="../ctrlProps/ctrlProp259.xml"/><Relationship Id="rId27" Type="http://schemas.openxmlformats.org/officeDocument/2006/relationships/ctrlProp" Target="../ctrlProps/ctrlProp264.xml"/><Relationship Id="rId30" Type="http://schemas.openxmlformats.org/officeDocument/2006/relationships/ctrlProp" Target="../ctrlProps/ctrlProp267.xml"/><Relationship Id="rId35" Type="http://schemas.openxmlformats.org/officeDocument/2006/relationships/ctrlProp" Target="../ctrlProps/ctrlProp272.xml"/><Relationship Id="rId8" Type="http://schemas.openxmlformats.org/officeDocument/2006/relationships/ctrlProp" Target="../ctrlProps/ctrlProp245.xml"/></Relationships>
</file>

<file path=xl/worksheets/_rels/sheet7.xml.rels><?xml version="1.0" encoding="UTF-8" standalone="yes"?>
<Relationships xmlns="http://schemas.openxmlformats.org/package/2006/relationships"><Relationship Id="rId13" Type="http://schemas.openxmlformats.org/officeDocument/2006/relationships/ctrlProp" Target="../ctrlProps/ctrlProp282.xml"/><Relationship Id="rId18" Type="http://schemas.openxmlformats.org/officeDocument/2006/relationships/ctrlProp" Target="../ctrlProps/ctrlProp287.xml"/><Relationship Id="rId26" Type="http://schemas.openxmlformats.org/officeDocument/2006/relationships/ctrlProp" Target="../ctrlProps/ctrlProp295.xml"/><Relationship Id="rId39" Type="http://schemas.openxmlformats.org/officeDocument/2006/relationships/ctrlProp" Target="../ctrlProps/ctrlProp308.xml"/><Relationship Id="rId21" Type="http://schemas.openxmlformats.org/officeDocument/2006/relationships/ctrlProp" Target="../ctrlProps/ctrlProp290.xml"/><Relationship Id="rId34" Type="http://schemas.openxmlformats.org/officeDocument/2006/relationships/ctrlProp" Target="../ctrlProps/ctrlProp303.xml"/><Relationship Id="rId42" Type="http://schemas.openxmlformats.org/officeDocument/2006/relationships/ctrlProp" Target="../ctrlProps/ctrlProp311.xml"/><Relationship Id="rId7" Type="http://schemas.openxmlformats.org/officeDocument/2006/relationships/ctrlProp" Target="../ctrlProps/ctrlProp276.xml"/><Relationship Id="rId2" Type="http://schemas.openxmlformats.org/officeDocument/2006/relationships/drawing" Target="../drawings/drawing5.xml"/><Relationship Id="rId16" Type="http://schemas.openxmlformats.org/officeDocument/2006/relationships/ctrlProp" Target="../ctrlProps/ctrlProp285.xml"/><Relationship Id="rId20" Type="http://schemas.openxmlformats.org/officeDocument/2006/relationships/ctrlProp" Target="../ctrlProps/ctrlProp289.xml"/><Relationship Id="rId29" Type="http://schemas.openxmlformats.org/officeDocument/2006/relationships/ctrlProp" Target="../ctrlProps/ctrlProp298.xml"/><Relationship Id="rId41" Type="http://schemas.openxmlformats.org/officeDocument/2006/relationships/ctrlProp" Target="../ctrlProps/ctrlProp310.xml"/><Relationship Id="rId1" Type="http://schemas.openxmlformats.org/officeDocument/2006/relationships/printerSettings" Target="../printerSettings/printerSettings7.bin"/><Relationship Id="rId6" Type="http://schemas.openxmlformats.org/officeDocument/2006/relationships/ctrlProp" Target="../ctrlProps/ctrlProp275.xml"/><Relationship Id="rId11" Type="http://schemas.openxmlformats.org/officeDocument/2006/relationships/ctrlProp" Target="../ctrlProps/ctrlProp280.xml"/><Relationship Id="rId24" Type="http://schemas.openxmlformats.org/officeDocument/2006/relationships/ctrlProp" Target="../ctrlProps/ctrlProp293.xml"/><Relationship Id="rId32" Type="http://schemas.openxmlformats.org/officeDocument/2006/relationships/ctrlProp" Target="../ctrlProps/ctrlProp301.xml"/><Relationship Id="rId37" Type="http://schemas.openxmlformats.org/officeDocument/2006/relationships/ctrlProp" Target="../ctrlProps/ctrlProp306.xml"/><Relationship Id="rId40" Type="http://schemas.openxmlformats.org/officeDocument/2006/relationships/ctrlProp" Target="../ctrlProps/ctrlProp309.xml"/><Relationship Id="rId5" Type="http://schemas.openxmlformats.org/officeDocument/2006/relationships/ctrlProp" Target="../ctrlProps/ctrlProp274.xml"/><Relationship Id="rId15" Type="http://schemas.openxmlformats.org/officeDocument/2006/relationships/ctrlProp" Target="../ctrlProps/ctrlProp284.xml"/><Relationship Id="rId23" Type="http://schemas.openxmlformats.org/officeDocument/2006/relationships/ctrlProp" Target="../ctrlProps/ctrlProp292.xml"/><Relationship Id="rId28" Type="http://schemas.openxmlformats.org/officeDocument/2006/relationships/ctrlProp" Target="../ctrlProps/ctrlProp297.xml"/><Relationship Id="rId36" Type="http://schemas.openxmlformats.org/officeDocument/2006/relationships/ctrlProp" Target="../ctrlProps/ctrlProp305.xml"/><Relationship Id="rId10" Type="http://schemas.openxmlformats.org/officeDocument/2006/relationships/ctrlProp" Target="../ctrlProps/ctrlProp279.xml"/><Relationship Id="rId19" Type="http://schemas.openxmlformats.org/officeDocument/2006/relationships/ctrlProp" Target="../ctrlProps/ctrlProp288.xml"/><Relationship Id="rId31" Type="http://schemas.openxmlformats.org/officeDocument/2006/relationships/ctrlProp" Target="../ctrlProps/ctrlProp300.xml"/><Relationship Id="rId44" Type="http://schemas.openxmlformats.org/officeDocument/2006/relationships/ctrlProp" Target="../ctrlProps/ctrlProp313.xml"/><Relationship Id="rId4" Type="http://schemas.openxmlformats.org/officeDocument/2006/relationships/ctrlProp" Target="../ctrlProps/ctrlProp273.xml"/><Relationship Id="rId9" Type="http://schemas.openxmlformats.org/officeDocument/2006/relationships/ctrlProp" Target="../ctrlProps/ctrlProp278.xml"/><Relationship Id="rId14" Type="http://schemas.openxmlformats.org/officeDocument/2006/relationships/ctrlProp" Target="../ctrlProps/ctrlProp283.xml"/><Relationship Id="rId22" Type="http://schemas.openxmlformats.org/officeDocument/2006/relationships/ctrlProp" Target="../ctrlProps/ctrlProp291.xml"/><Relationship Id="rId27" Type="http://schemas.openxmlformats.org/officeDocument/2006/relationships/ctrlProp" Target="../ctrlProps/ctrlProp296.xml"/><Relationship Id="rId30" Type="http://schemas.openxmlformats.org/officeDocument/2006/relationships/ctrlProp" Target="../ctrlProps/ctrlProp299.xml"/><Relationship Id="rId35" Type="http://schemas.openxmlformats.org/officeDocument/2006/relationships/ctrlProp" Target="../ctrlProps/ctrlProp304.xml"/><Relationship Id="rId43" Type="http://schemas.openxmlformats.org/officeDocument/2006/relationships/ctrlProp" Target="../ctrlProps/ctrlProp312.xml"/><Relationship Id="rId8" Type="http://schemas.openxmlformats.org/officeDocument/2006/relationships/ctrlProp" Target="../ctrlProps/ctrlProp277.xml"/><Relationship Id="rId3" Type="http://schemas.openxmlformats.org/officeDocument/2006/relationships/vmlDrawing" Target="../drawings/vmlDrawing5.vml"/><Relationship Id="rId12" Type="http://schemas.openxmlformats.org/officeDocument/2006/relationships/ctrlProp" Target="../ctrlProps/ctrlProp281.xml"/><Relationship Id="rId17" Type="http://schemas.openxmlformats.org/officeDocument/2006/relationships/ctrlProp" Target="../ctrlProps/ctrlProp286.xml"/><Relationship Id="rId25" Type="http://schemas.openxmlformats.org/officeDocument/2006/relationships/ctrlProp" Target="../ctrlProps/ctrlProp294.xml"/><Relationship Id="rId33" Type="http://schemas.openxmlformats.org/officeDocument/2006/relationships/ctrlProp" Target="../ctrlProps/ctrlProp302.xml"/><Relationship Id="rId38" Type="http://schemas.openxmlformats.org/officeDocument/2006/relationships/ctrlProp" Target="../ctrlProps/ctrlProp30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8.bin"/><Relationship Id="rId4" Type="http://schemas.openxmlformats.org/officeDocument/2006/relationships/ctrlProp" Target="../ctrlProps/ctrlProp314.xml"/></Relationships>
</file>

<file path=xl/worksheets/_rels/sheet9.xml.rels><?xml version="1.0" encoding="UTF-8" standalone="yes"?>
<Relationships xmlns="http://schemas.openxmlformats.org/package/2006/relationships"><Relationship Id="rId13" Type="http://schemas.openxmlformats.org/officeDocument/2006/relationships/ctrlProp" Target="../ctrlProps/ctrlProp324.xml"/><Relationship Id="rId18" Type="http://schemas.openxmlformats.org/officeDocument/2006/relationships/ctrlProp" Target="../ctrlProps/ctrlProp329.xml"/><Relationship Id="rId26" Type="http://schemas.openxmlformats.org/officeDocument/2006/relationships/ctrlProp" Target="../ctrlProps/ctrlProp337.xml"/><Relationship Id="rId39" Type="http://schemas.openxmlformats.org/officeDocument/2006/relationships/ctrlProp" Target="../ctrlProps/ctrlProp350.xml"/><Relationship Id="rId21" Type="http://schemas.openxmlformats.org/officeDocument/2006/relationships/ctrlProp" Target="../ctrlProps/ctrlProp332.xml"/><Relationship Id="rId34" Type="http://schemas.openxmlformats.org/officeDocument/2006/relationships/ctrlProp" Target="../ctrlProps/ctrlProp345.xml"/><Relationship Id="rId42" Type="http://schemas.openxmlformats.org/officeDocument/2006/relationships/ctrlProp" Target="../ctrlProps/ctrlProp353.xml"/><Relationship Id="rId47" Type="http://schemas.openxmlformats.org/officeDocument/2006/relationships/ctrlProp" Target="../ctrlProps/ctrlProp358.xml"/><Relationship Id="rId50" Type="http://schemas.openxmlformats.org/officeDocument/2006/relationships/ctrlProp" Target="../ctrlProps/ctrlProp361.xml"/><Relationship Id="rId55" Type="http://schemas.openxmlformats.org/officeDocument/2006/relationships/ctrlProp" Target="../ctrlProps/ctrlProp366.xml"/><Relationship Id="rId7" Type="http://schemas.openxmlformats.org/officeDocument/2006/relationships/ctrlProp" Target="../ctrlProps/ctrlProp318.xml"/><Relationship Id="rId2" Type="http://schemas.openxmlformats.org/officeDocument/2006/relationships/drawing" Target="../drawings/drawing7.xml"/><Relationship Id="rId16" Type="http://schemas.openxmlformats.org/officeDocument/2006/relationships/ctrlProp" Target="../ctrlProps/ctrlProp327.xml"/><Relationship Id="rId29" Type="http://schemas.openxmlformats.org/officeDocument/2006/relationships/ctrlProp" Target="../ctrlProps/ctrlProp340.xml"/><Relationship Id="rId11" Type="http://schemas.openxmlformats.org/officeDocument/2006/relationships/ctrlProp" Target="../ctrlProps/ctrlProp322.xml"/><Relationship Id="rId24" Type="http://schemas.openxmlformats.org/officeDocument/2006/relationships/ctrlProp" Target="../ctrlProps/ctrlProp335.xml"/><Relationship Id="rId32" Type="http://schemas.openxmlformats.org/officeDocument/2006/relationships/ctrlProp" Target="../ctrlProps/ctrlProp343.xml"/><Relationship Id="rId37" Type="http://schemas.openxmlformats.org/officeDocument/2006/relationships/ctrlProp" Target="../ctrlProps/ctrlProp348.xml"/><Relationship Id="rId40" Type="http://schemas.openxmlformats.org/officeDocument/2006/relationships/ctrlProp" Target="../ctrlProps/ctrlProp351.xml"/><Relationship Id="rId45" Type="http://schemas.openxmlformats.org/officeDocument/2006/relationships/ctrlProp" Target="../ctrlProps/ctrlProp356.xml"/><Relationship Id="rId53" Type="http://schemas.openxmlformats.org/officeDocument/2006/relationships/ctrlProp" Target="../ctrlProps/ctrlProp364.xml"/><Relationship Id="rId58" Type="http://schemas.openxmlformats.org/officeDocument/2006/relationships/ctrlProp" Target="../ctrlProps/ctrlProp369.xml"/><Relationship Id="rId5" Type="http://schemas.openxmlformats.org/officeDocument/2006/relationships/ctrlProp" Target="../ctrlProps/ctrlProp316.xml"/><Relationship Id="rId19" Type="http://schemas.openxmlformats.org/officeDocument/2006/relationships/ctrlProp" Target="../ctrlProps/ctrlProp330.xml"/><Relationship Id="rId4" Type="http://schemas.openxmlformats.org/officeDocument/2006/relationships/ctrlProp" Target="../ctrlProps/ctrlProp315.xml"/><Relationship Id="rId9" Type="http://schemas.openxmlformats.org/officeDocument/2006/relationships/ctrlProp" Target="../ctrlProps/ctrlProp320.xml"/><Relationship Id="rId14" Type="http://schemas.openxmlformats.org/officeDocument/2006/relationships/ctrlProp" Target="../ctrlProps/ctrlProp325.xml"/><Relationship Id="rId22" Type="http://schemas.openxmlformats.org/officeDocument/2006/relationships/ctrlProp" Target="../ctrlProps/ctrlProp333.xml"/><Relationship Id="rId27" Type="http://schemas.openxmlformats.org/officeDocument/2006/relationships/ctrlProp" Target="../ctrlProps/ctrlProp338.xml"/><Relationship Id="rId30" Type="http://schemas.openxmlformats.org/officeDocument/2006/relationships/ctrlProp" Target="../ctrlProps/ctrlProp341.xml"/><Relationship Id="rId35" Type="http://schemas.openxmlformats.org/officeDocument/2006/relationships/ctrlProp" Target="../ctrlProps/ctrlProp346.xml"/><Relationship Id="rId43" Type="http://schemas.openxmlformats.org/officeDocument/2006/relationships/ctrlProp" Target="../ctrlProps/ctrlProp354.xml"/><Relationship Id="rId48" Type="http://schemas.openxmlformats.org/officeDocument/2006/relationships/ctrlProp" Target="../ctrlProps/ctrlProp359.xml"/><Relationship Id="rId56" Type="http://schemas.openxmlformats.org/officeDocument/2006/relationships/ctrlProp" Target="../ctrlProps/ctrlProp367.xml"/><Relationship Id="rId8" Type="http://schemas.openxmlformats.org/officeDocument/2006/relationships/ctrlProp" Target="../ctrlProps/ctrlProp319.xml"/><Relationship Id="rId51" Type="http://schemas.openxmlformats.org/officeDocument/2006/relationships/ctrlProp" Target="../ctrlProps/ctrlProp362.xml"/><Relationship Id="rId3" Type="http://schemas.openxmlformats.org/officeDocument/2006/relationships/vmlDrawing" Target="../drawings/vmlDrawing7.vml"/><Relationship Id="rId12" Type="http://schemas.openxmlformats.org/officeDocument/2006/relationships/ctrlProp" Target="../ctrlProps/ctrlProp323.xml"/><Relationship Id="rId17" Type="http://schemas.openxmlformats.org/officeDocument/2006/relationships/ctrlProp" Target="../ctrlProps/ctrlProp328.xml"/><Relationship Id="rId25" Type="http://schemas.openxmlformats.org/officeDocument/2006/relationships/ctrlProp" Target="../ctrlProps/ctrlProp336.xml"/><Relationship Id="rId33" Type="http://schemas.openxmlformats.org/officeDocument/2006/relationships/ctrlProp" Target="../ctrlProps/ctrlProp344.xml"/><Relationship Id="rId38" Type="http://schemas.openxmlformats.org/officeDocument/2006/relationships/ctrlProp" Target="../ctrlProps/ctrlProp349.xml"/><Relationship Id="rId46" Type="http://schemas.openxmlformats.org/officeDocument/2006/relationships/ctrlProp" Target="../ctrlProps/ctrlProp357.xml"/><Relationship Id="rId59" Type="http://schemas.openxmlformats.org/officeDocument/2006/relationships/ctrlProp" Target="../ctrlProps/ctrlProp370.xml"/><Relationship Id="rId20" Type="http://schemas.openxmlformats.org/officeDocument/2006/relationships/ctrlProp" Target="../ctrlProps/ctrlProp331.xml"/><Relationship Id="rId41" Type="http://schemas.openxmlformats.org/officeDocument/2006/relationships/ctrlProp" Target="../ctrlProps/ctrlProp352.xml"/><Relationship Id="rId54" Type="http://schemas.openxmlformats.org/officeDocument/2006/relationships/ctrlProp" Target="../ctrlProps/ctrlProp365.xml"/><Relationship Id="rId1" Type="http://schemas.openxmlformats.org/officeDocument/2006/relationships/printerSettings" Target="../printerSettings/printerSettings9.bin"/><Relationship Id="rId6" Type="http://schemas.openxmlformats.org/officeDocument/2006/relationships/ctrlProp" Target="../ctrlProps/ctrlProp317.xml"/><Relationship Id="rId15" Type="http://schemas.openxmlformats.org/officeDocument/2006/relationships/ctrlProp" Target="../ctrlProps/ctrlProp326.xml"/><Relationship Id="rId23" Type="http://schemas.openxmlformats.org/officeDocument/2006/relationships/ctrlProp" Target="../ctrlProps/ctrlProp334.xml"/><Relationship Id="rId28" Type="http://schemas.openxmlformats.org/officeDocument/2006/relationships/ctrlProp" Target="../ctrlProps/ctrlProp339.xml"/><Relationship Id="rId36" Type="http://schemas.openxmlformats.org/officeDocument/2006/relationships/ctrlProp" Target="../ctrlProps/ctrlProp347.xml"/><Relationship Id="rId49" Type="http://schemas.openxmlformats.org/officeDocument/2006/relationships/ctrlProp" Target="../ctrlProps/ctrlProp360.xml"/><Relationship Id="rId57" Type="http://schemas.openxmlformats.org/officeDocument/2006/relationships/ctrlProp" Target="../ctrlProps/ctrlProp368.xml"/><Relationship Id="rId10" Type="http://schemas.openxmlformats.org/officeDocument/2006/relationships/ctrlProp" Target="../ctrlProps/ctrlProp321.xml"/><Relationship Id="rId31" Type="http://schemas.openxmlformats.org/officeDocument/2006/relationships/ctrlProp" Target="../ctrlProps/ctrlProp342.xml"/><Relationship Id="rId44" Type="http://schemas.openxmlformats.org/officeDocument/2006/relationships/ctrlProp" Target="../ctrlProps/ctrlProp355.xml"/><Relationship Id="rId52" Type="http://schemas.openxmlformats.org/officeDocument/2006/relationships/ctrlProp" Target="../ctrlProps/ctrlProp363.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785"/>
  <sheetViews>
    <sheetView zoomScaleNormal="100" workbookViewId="0">
      <selection activeCell="A2" sqref="A2"/>
    </sheetView>
  </sheetViews>
  <sheetFormatPr defaultColWidth="8.625" defaultRowHeight="15.75" x14ac:dyDescent="0.25"/>
  <cols>
    <col min="1" max="1" width="46.5" style="472" customWidth="1"/>
    <col min="2" max="2" width="92" style="517" customWidth="1"/>
    <col min="3" max="16384" width="8.625" style="120"/>
  </cols>
  <sheetData>
    <row r="1" spans="1:2" x14ac:dyDescent="0.25">
      <c r="A1" s="468" t="s">
        <v>786</v>
      </c>
      <c r="B1" s="475" t="s">
        <v>201</v>
      </c>
    </row>
    <row r="2" spans="1:2" x14ac:dyDescent="0.25">
      <c r="A2" s="67" t="s">
        <v>1727</v>
      </c>
      <c r="B2" s="476">
        <f>'CDS-D'!$C$15</f>
        <v>133</v>
      </c>
    </row>
    <row r="3" spans="1:2" x14ac:dyDescent="0.25">
      <c r="A3" s="67" t="s">
        <v>1728</v>
      </c>
      <c r="B3" s="476">
        <f>'CDS-D'!$D$15</f>
        <v>44</v>
      </c>
    </row>
    <row r="4" spans="1:2" x14ac:dyDescent="0.25">
      <c r="A4" s="67" t="s">
        <v>1729</v>
      </c>
      <c r="B4" s="476">
        <f>'CDS-D'!$E$15</f>
        <v>20</v>
      </c>
    </row>
    <row r="5" spans="1:2" x14ac:dyDescent="0.25">
      <c r="A5" s="67" t="s">
        <v>1313</v>
      </c>
      <c r="B5" s="469" t="str">
        <f>'CDS-D'!$K$5</f>
        <v>Yes</v>
      </c>
    </row>
    <row r="6" spans="1:2" x14ac:dyDescent="0.25">
      <c r="A6" s="469" t="s">
        <v>1659</v>
      </c>
      <c r="B6" s="477" t="str">
        <f>'CDS-C'!$K$66</f>
        <v/>
      </c>
    </row>
    <row r="7" spans="1:2" x14ac:dyDescent="0.25">
      <c r="A7" s="469" t="s">
        <v>1660</v>
      </c>
      <c r="B7" s="477">
        <f>'CDS-C'!$B$71</f>
        <v>0</v>
      </c>
    </row>
    <row r="8" spans="1:2" x14ac:dyDescent="0.25">
      <c r="A8" s="469" t="s">
        <v>1661</v>
      </c>
      <c r="B8" s="477" t="str">
        <f>'CDS-C'!$I$76</f>
        <v>Very Important</v>
      </c>
    </row>
    <row r="9" spans="1:2" x14ac:dyDescent="0.25">
      <c r="A9" s="469" t="s">
        <v>1662</v>
      </c>
      <c r="B9" s="477" t="str">
        <f>'CDS-C'!$I$77</f>
        <v>Important</v>
      </c>
    </row>
    <row r="10" spans="1:2" x14ac:dyDescent="0.25">
      <c r="A10" s="469" t="s">
        <v>1663</v>
      </c>
      <c r="B10" s="477" t="str">
        <f>'CDS-C'!$I$78</f>
        <v>Very Important</v>
      </c>
    </row>
    <row r="11" spans="1:2" x14ac:dyDescent="0.25">
      <c r="A11" s="469" t="s">
        <v>1666</v>
      </c>
      <c r="B11" s="477" t="str">
        <f>'CDS-C'!$I$81</f>
        <v>Very Important</v>
      </c>
    </row>
    <row r="12" spans="1:2" x14ac:dyDescent="0.25">
      <c r="A12" s="469" t="s">
        <v>1664</v>
      </c>
      <c r="B12" s="477" t="str">
        <f>'CDS-C'!$I$79</f>
        <v>Important</v>
      </c>
    </row>
    <row r="13" spans="1:2" x14ac:dyDescent="0.25">
      <c r="A13" s="469" t="s">
        <v>1665</v>
      </c>
      <c r="B13" s="477" t="str">
        <f>'CDS-C'!$I$80</f>
        <v>Very Important</v>
      </c>
    </row>
    <row r="14" spans="1:2" ht="54" customHeight="1" x14ac:dyDescent="0.25">
      <c r="A14" s="469" t="s">
        <v>1667</v>
      </c>
      <c r="B14" s="477" t="str">
        <f>'CDS-C'!$I$83</f>
        <v>Important</v>
      </c>
    </row>
    <row r="15" spans="1:2" x14ac:dyDescent="0.25">
      <c r="A15" s="469" t="s">
        <v>1668</v>
      </c>
      <c r="B15" s="477" t="str">
        <f>'CDS-C'!$I$84</f>
        <v>Important</v>
      </c>
    </row>
    <row r="16" spans="1:2" ht="112.5" customHeight="1" x14ac:dyDescent="0.25">
      <c r="A16" s="469" t="s">
        <v>1669</v>
      </c>
      <c r="B16" s="477" t="str">
        <f>'CDS-C'!$I$85</f>
        <v>Important</v>
      </c>
    </row>
    <row r="17" spans="1:2" x14ac:dyDescent="0.25">
      <c r="A17" s="469" t="s">
        <v>1670</v>
      </c>
      <c r="B17" s="477" t="str">
        <f>'CDS-C'!$I$86</f>
        <v>Important</v>
      </c>
    </row>
    <row r="18" spans="1:2" x14ac:dyDescent="0.25">
      <c r="A18" s="469" t="s">
        <v>1671</v>
      </c>
      <c r="B18" s="477" t="str">
        <f>'CDS-C'!$I$87</f>
        <v>Considered</v>
      </c>
    </row>
    <row r="19" spans="1:2" x14ac:dyDescent="0.25">
      <c r="A19" s="469" t="s">
        <v>1672</v>
      </c>
      <c r="B19" s="477" t="str">
        <f>'CDS-C'!$I$88</f>
        <v>Considered</v>
      </c>
    </row>
    <row r="20" spans="1:2" x14ac:dyDescent="0.25">
      <c r="A20" s="469" t="s">
        <v>1673</v>
      </c>
      <c r="B20" s="477" t="str">
        <f>'CDS-C'!$I$89</f>
        <v>Considered</v>
      </c>
    </row>
    <row r="21" spans="1:2" x14ac:dyDescent="0.25">
      <c r="A21" s="469" t="s">
        <v>1674</v>
      </c>
      <c r="B21" s="477" t="str">
        <f>'CDS-C'!$I$90</f>
        <v>Considered</v>
      </c>
    </row>
    <row r="22" spans="1:2" x14ac:dyDescent="0.25">
      <c r="A22" s="469" t="s">
        <v>1675</v>
      </c>
      <c r="B22" s="477" t="str">
        <f>'CDS-C'!$I$91</f>
        <v>Not Considered</v>
      </c>
    </row>
    <row r="23" spans="1:2" x14ac:dyDescent="0.25">
      <c r="A23" s="469" t="s">
        <v>1676</v>
      </c>
      <c r="B23" s="477" t="str">
        <f>'CDS-C'!$I$92</f>
        <v>Considered</v>
      </c>
    </row>
    <row r="24" spans="1:2" x14ac:dyDescent="0.25">
      <c r="A24" s="469" t="s">
        <v>1677</v>
      </c>
      <c r="B24" s="477" t="str">
        <f>'CDS-C'!$I$93</f>
        <v>Considered</v>
      </c>
    </row>
    <row r="25" spans="1:2" x14ac:dyDescent="0.25">
      <c r="A25" s="469" t="s">
        <v>1678</v>
      </c>
      <c r="B25" s="477" t="str">
        <f>'CDS-C'!$I$94</f>
        <v>Considered</v>
      </c>
    </row>
    <row r="26" spans="1:2" x14ac:dyDescent="0.25">
      <c r="A26" s="469" t="s">
        <v>1679</v>
      </c>
      <c r="B26" s="477" t="str">
        <f>'CDS-C'!$I$95</f>
        <v>Important</v>
      </c>
    </row>
    <row r="27" spans="1:2" x14ac:dyDescent="0.25">
      <c r="A27" s="469" t="s">
        <v>1680</v>
      </c>
      <c r="B27" s="478" t="str">
        <f>'CDS-C'!$H$105</f>
        <v>Yes</v>
      </c>
    </row>
    <row r="28" spans="1:2" x14ac:dyDescent="0.25">
      <c r="A28" s="469" t="s">
        <v>1681</v>
      </c>
      <c r="B28" s="477" t="str">
        <f>'CDS-C'!$U$110</f>
        <v>Consider if Submitted|</v>
      </c>
    </row>
    <row r="29" spans="1:2" x14ac:dyDescent="0.25">
      <c r="A29" s="469" t="s">
        <v>1682</v>
      </c>
      <c r="B29" s="477" t="str">
        <f>'CDS-C'!$U$111</f>
        <v/>
      </c>
    </row>
    <row r="30" spans="1:2" x14ac:dyDescent="0.25">
      <c r="A30" s="469" t="s">
        <v>1683</v>
      </c>
      <c r="B30" s="477" t="str">
        <f>'CDS-C'!$U$112</f>
        <v/>
      </c>
    </row>
    <row r="31" spans="1:2" x14ac:dyDescent="0.25">
      <c r="A31" s="469" t="s">
        <v>1684</v>
      </c>
      <c r="B31" s="477" t="str">
        <f>'CDS-C'!$U$113</f>
        <v/>
      </c>
    </row>
    <row r="32" spans="1:2" x14ac:dyDescent="0.25">
      <c r="A32" s="469" t="s">
        <v>1685</v>
      </c>
      <c r="B32" s="477" t="str">
        <f>'CDS-C'!$U$114</f>
        <v>Not Considered</v>
      </c>
    </row>
    <row r="33" spans="1:2" x14ac:dyDescent="0.25">
      <c r="A33" s="469" t="s">
        <v>1686</v>
      </c>
      <c r="B33" s="479" t="str">
        <f>'CDS-C'!$J$119</f>
        <v>ACT with or without writing accepted</v>
      </c>
    </row>
    <row r="34" spans="1:2" x14ac:dyDescent="0.25">
      <c r="A34" s="469" t="s">
        <v>1687</v>
      </c>
      <c r="B34" s="480" t="str">
        <f>'CDS-C'!$J$126</f>
        <v>SAT with or without Essay component accepted</v>
      </c>
    </row>
    <row r="35" spans="1:2" x14ac:dyDescent="0.25">
      <c r="A35" s="469" t="s">
        <v>765</v>
      </c>
      <c r="B35" s="477" t="str">
        <f>CONCATENATE('CDS-C'!$I$132,'CDS-C'!$I$133, 'CDS-C'!$I$134, 'CDS-C'!$I$135, 'CDS-C'!$I$136, 'CDS-C'!$I$137,'CDS-C'!$I$138)</f>
        <v>|||||||Not using essay component</v>
      </c>
    </row>
    <row r="36" spans="1:2" x14ac:dyDescent="0.25">
      <c r="A36" s="469" t="s">
        <v>764</v>
      </c>
      <c r="B36" s="477" t="str">
        <f>CONCATENATE('CDS-C'!$H$132,'CDS-C'!$H$133, 'CDS-C'!$H$134, 'CDS-C'!$H$135, 'CDS-C'!$H$136, 'CDS-C'!$H$137,'CDS-C'!$H$138)</f>
        <v>|||||||Not using essay component</v>
      </c>
    </row>
    <row r="37" spans="1:2" x14ac:dyDescent="0.25">
      <c r="A37" s="469" t="s">
        <v>1688</v>
      </c>
      <c r="B37" s="480" t="str">
        <f>'CDS-C'!$H$142</f>
        <v>Yes</v>
      </c>
    </row>
    <row r="38" spans="1:2" x14ac:dyDescent="0.25">
      <c r="A38" s="469" t="s">
        <v>1689</v>
      </c>
      <c r="B38" s="481">
        <f>'CDS-C'!$F$144</f>
        <v>44593</v>
      </c>
    </row>
    <row r="39" spans="1:2" ht="77.099999999999994" customHeight="1" x14ac:dyDescent="0.25">
      <c r="A39" s="469" t="s">
        <v>1690</v>
      </c>
      <c r="B39" s="481" t="str">
        <f>'CDS-C'!$F$145</f>
        <v>N/A</v>
      </c>
    </row>
    <row r="40" spans="1:2" x14ac:dyDescent="0.25">
      <c r="A40" s="469" t="s">
        <v>1691</v>
      </c>
      <c r="B40" s="482">
        <f>'CDS-D'!$D$153</f>
        <v>0</v>
      </c>
    </row>
    <row r="41" spans="1:2" x14ac:dyDescent="0.25">
      <c r="A41" s="470" t="s">
        <v>767</v>
      </c>
      <c r="B41" s="477" t="str" cm="1">
        <f t="array" ref="B41">_xlfn.IFS('CDS-C'!$G$52=1, 'CDS-C'!$F$52, 'CDS-C'!$G$52=2, 'CDS-C'!$F$53, 'CDS-C'!$G$52=3, 'CDS-C'!$F$54)</f>
        <v>High school diploma is required and GED is accepted</v>
      </c>
    </row>
    <row r="42" spans="1:2" x14ac:dyDescent="0.25">
      <c r="A42" s="469" t="s">
        <v>1692</v>
      </c>
      <c r="B42" s="483" t="str">
        <f>'CDS-C'!$H$250</f>
        <v>No</v>
      </c>
    </row>
    <row r="43" spans="1:2" x14ac:dyDescent="0.25">
      <c r="A43" s="469" t="s">
        <v>1693</v>
      </c>
      <c r="B43" s="484" t="str">
        <f>'CDS-C'!$D$252</f>
        <v xml:space="preserve"> </v>
      </c>
    </row>
    <row r="44" spans="1:2" x14ac:dyDescent="0.25">
      <c r="A44" s="469" t="s">
        <v>1694</v>
      </c>
      <c r="B44" s="478" t="e">
        <f>'CDS-C'!$H$255</f>
        <v>#N/A</v>
      </c>
    </row>
    <row r="45" spans="1:2" x14ac:dyDescent="0.25">
      <c r="A45" s="469" t="s">
        <v>1695</v>
      </c>
      <c r="B45" s="477" t="str">
        <f>'CDS-C'!$I$258</f>
        <v>Same fee</v>
      </c>
    </row>
    <row r="46" spans="1:2" x14ac:dyDescent="0.25">
      <c r="A46" s="469" t="s">
        <v>1696</v>
      </c>
      <c r="B46" s="485" t="e">
        <f>'CDS-C'!$H$262</f>
        <v>#N/A</v>
      </c>
    </row>
    <row r="47" spans="1:2" x14ac:dyDescent="0.25">
      <c r="A47" s="469" t="s">
        <v>1699</v>
      </c>
      <c r="B47" s="477">
        <f>'CDS-C'!$C$270</f>
        <v>0</v>
      </c>
    </row>
    <row r="48" spans="1:2" x14ac:dyDescent="0.25">
      <c r="A48" s="469" t="s">
        <v>1700</v>
      </c>
      <c r="B48" s="477" t="e">
        <f>'CDS-C'!$H$274</f>
        <v>#N/A</v>
      </c>
    </row>
    <row r="49" spans="1:2" x14ac:dyDescent="0.25">
      <c r="A49" s="469" t="s">
        <v>1698</v>
      </c>
      <c r="B49" s="482" t="str">
        <f>'CDS-C'!$H$266</f>
        <v>Yes</v>
      </c>
    </row>
    <row r="50" spans="1:2" x14ac:dyDescent="0.25">
      <c r="A50" s="469" t="s">
        <v>1697</v>
      </c>
      <c r="B50" s="477">
        <f>'CDS-C'!$C$269</f>
        <v>44576</v>
      </c>
    </row>
    <row r="51" spans="1:2" x14ac:dyDescent="0.25">
      <c r="A51" s="469" t="s">
        <v>1701</v>
      </c>
      <c r="B51" s="477" t="str">
        <f>'CDS-C'!$H$278</f>
        <v>No</v>
      </c>
    </row>
    <row r="52" spans="1:2" x14ac:dyDescent="0.25">
      <c r="A52" s="469" t="s">
        <v>1702</v>
      </c>
      <c r="B52" s="486">
        <f>'CDS-C'!$C$279</f>
        <v>44643</v>
      </c>
    </row>
    <row r="53" spans="1:2" x14ac:dyDescent="0.25">
      <c r="A53" s="469" t="s">
        <v>1703</v>
      </c>
      <c r="B53" s="477" t="str">
        <f>'CDS-C'!$J$283</f>
        <v/>
      </c>
    </row>
    <row r="54" spans="1:2" x14ac:dyDescent="0.25">
      <c r="A54" s="469" t="s">
        <v>1704</v>
      </c>
      <c r="B54" s="477">
        <f>'CDS-C'!$C$286</f>
        <v>0</v>
      </c>
    </row>
    <row r="55" spans="1:2" x14ac:dyDescent="0.25">
      <c r="A55" s="469" t="s">
        <v>1705</v>
      </c>
      <c r="B55" s="477">
        <f>'CDS-C'!$C$287</f>
        <v>0</v>
      </c>
    </row>
    <row r="56" spans="1:2" x14ac:dyDescent="0.25">
      <c r="A56" s="469" t="s">
        <v>1730</v>
      </c>
      <c r="B56" s="477">
        <f>'CDS-C'!$C$284</f>
        <v>44682</v>
      </c>
    </row>
    <row r="57" spans="1:2" x14ac:dyDescent="0.25">
      <c r="A57" s="470" t="s">
        <v>774</v>
      </c>
      <c r="B57" s="477" t="str">
        <f>'CDS-C'!$H$36</f>
        <v>Yes</v>
      </c>
    </row>
    <row r="58" spans="1:2" x14ac:dyDescent="0.25">
      <c r="A58" s="470" t="s">
        <v>773</v>
      </c>
      <c r="B58" s="477">
        <f>'CDS-C'!$E$41</f>
        <v>2165</v>
      </c>
    </row>
    <row r="59" spans="1:2" x14ac:dyDescent="0.25">
      <c r="A59" s="470" t="s">
        <v>772</v>
      </c>
      <c r="B59" s="477">
        <f>'CDS-C'!$E$42</f>
        <v>1172</v>
      </c>
    </row>
    <row r="60" spans="1:2" x14ac:dyDescent="0.25">
      <c r="A60" s="470" t="s">
        <v>771</v>
      </c>
      <c r="B60" s="477">
        <f>'CDS-C'!$E$43</f>
        <v>23</v>
      </c>
    </row>
    <row r="61" spans="1:2" x14ac:dyDescent="0.25">
      <c r="A61" s="470" t="s">
        <v>770</v>
      </c>
      <c r="B61" s="477" t="str">
        <f>'CDS-C'!$H$45</f>
        <v>No</v>
      </c>
    </row>
    <row r="62" spans="1:2" x14ac:dyDescent="0.25">
      <c r="A62" s="470" t="s">
        <v>769</v>
      </c>
      <c r="B62" s="477" t="e">
        <f>'CDS-C'!$H$46</f>
        <v>#N/A</v>
      </c>
    </row>
    <row r="63" spans="1:2" x14ac:dyDescent="0.25">
      <c r="A63" s="470" t="s">
        <v>768</v>
      </c>
      <c r="B63" s="477" t="e">
        <f>'CDS-C'!$H$47</f>
        <v>#N/A</v>
      </c>
    </row>
    <row r="64" spans="1:2" x14ac:dyDescent="0.25">
      <c r="A64" s="470" t="s">
        <v>766</v>
      </c>
      <c r="B64" s="477" t="str" cm="1">
        <f t="array" ref="B64">_xlfn.IFS('CDS-C'!$G$60=1, 'CDS-C'!$F$60, 'CDS-C'!$G$60=2, 'CDS-C'!$F$61, 'CDS-C'!$G$60=3, 'CDS-C'!$F$62)</f>
        <v>Require</v>
      </c>
    </row>
    <row r="65" spans="1:2" x14ac:dyDescent="0.25">
      <c r="A65" s="469" t="s">
        <v>1718</v>
      </c>
      <c r="B65" s="482" t="str">
        <f>'CDS-C'!$H$329</f>
        <v>No</v>
      </c>
    </row>
    <row r="66" spans="1:2" x14ac:dyDescent="0.25">
      <c r="A66" s="469" t="s">
        <v>1720</v>
      </c>
      <c r="B66" s="478">
        <f>'CDS-C'!$D$331</f>
        <v>0</v>
      </c>
    </row>
    <row r="67" spans="1:2" x14ac:dyDescent="0.25">
      <c r="A67" s="469" t="s">
        <v>1721</v>
      </c>
      <c r="B67" s="478">
        <f>'CDS-C'!$D$332</f>
        <v>0</v>
      </c>
    </row>
    <row r="68" spans="1:2" x14ac:dyDescent="0.25">
      <c r="A68" s="469" t="s">
        <v>1722</v>
      </c>
      <c r="B68" s="477" t="e">
        <f>'CDS-C'!$H$335</f>
        <v>#N/A</v>
      </c>
    </row>
    <row r="69" spans="1:2" x14ac:dyDescent="0.25">
      <c r="A69" s="469" t="s">
        <v>1711</v>
      </c>
      <c r="B69" s="477">
        <f>'CDS-C'!$D$321</f>
        <v>0</v>
      </c>
    </row>
    <row r="70" spans="1:2" x14ac:dyDescent="0.25">
      <c r="A70" s="469" t="s">
        <v>1712</v>
      </c>
      <c r="B70" s="477">
        <f>'CDS-C'!$D$322</f>
        <v>0</v>
      </c>
    </row>
    <row r="71" spans="1:2" x14ac:dyDescent="0.25">
      <c r="A71" s="469" t="s">
        <v>1706</v>
      </c>
      <c r="B71" s="486">
        <f>'CDS-C'!$C$289</f>
        <v>0</v>
      </c>
    </row>
    <row r="72" spans="1:2" x14ac:dyDescent="0.25">
      <c r="A72" s="469" t="s">
        <v>1707</v>
      </c>
      <c r="B72" s="487">
        <f>'CDS-C'!$C$290</f>
        <v>0</v>
      </c>
    </row>
    <row r="73" spans="1:2" x14ac:dyDescent="0.25">
      <c r="A73" s="469" t="s">
        <v>1708</v>
      </c>
      <c r="B73" s="477" t="e">
        <f>'CDS-C'!$H$294</f>
        <v>#N/A</v>
      </c>
    </row>
    <row r="74" spans="1:2" x14ac:dyDescent="0.25">
      <c r="A74" s="469" t="s">
        <v>1709</v>
      </c>
      <c r="B74" s="477" t="str">
        <f>'CDS-C'!$H$300</f>
        <v>Yes</v>
      </c>
    </row>
    <row r="75" spans="1:2" x14ac:dyDescent="0.25">
      <c r="A75" s="469" t="s">
        <v>1710</v>
      </c>
      <c r="B75" s="482" t="str">
        <f>'CDS-C'!$H$305</f>
        <v>No</v>
      </c>
    </row>
    <row r="76" spans="1:2" x14ac:dyDescent="0.25">
      <c r="A76" s="469" t="s">
        <v>1713</v>
      </c>
      <c r="B76" s="477" t="e">
        <f>'CDS-C'!$H$313</f>
        <v>#N/A</v>
      </c>
    </row>
    <row r="77" spans="1:2" x14ac:dyDescent="0.25">
      <c r="A77" s="469" t="s">
        <v>1714</v>
      </c>
      <c r="B77" s="477">
        <f>'CDS-C'!$D$315</f>
        <v>44880</v>
      </c>
    </row>
    <row r="78" spans="1:2" x14ac:dyDescent="0.25">
      <c r="A78" s="469" t="s">
        <v>1715</v>
      </c>
      <c r="B78" s="477">
        <f>'CDS-C'!$D$316</f>
        <v>44910</v>
      </c>
    </row>
    <row r="79" spans="1:2" x14ac:dyDescent="0.25">
      <c r="A79" s="469" t="s">
        <v>1716</v>
      </c>
      <c r="B79" s="477">
        <f>'CDS-C'!$D$317</f>
        <v>44576</v>
      </c>
    </row>
    <row r="80" spans="1:2" x14ac:dyDescent="0.25">
      <c r="A80" s="469" t="s">
        <v>1717</v>
      </c>
      <c r="B80" s="477">
        <f>'CDS-C'!$D$318</f>
        <v>44593</v>
      </c>
    </row>
    <row r="81" spans="1:2" x14ac:dyDescent="0.25">
      <c r="A81" s="469" t="s">
        <v>1719</v>
      </c>
      <c r="B81" s="482">
        <f>'CDS-C'!$B$324</f>
        <v>0</v>
      </c>
    </row>
    <row r="82" spans="1:2" x14ac:dyDescent="0.25">
      <c r="A82" s="67" t="s">
        <v>1314</v>
      </c>
      <c r="B82" s="469" t="str">
        <f>_xlfn.CONCAT(B79,B80,B81)</f>
        <v>44576445930</v>
      </c>
    </row>
    <row r="83" spans="1:2" x14ac:dyDescent="0.25">
      <c r="A83" s="67" t="s">
        <v>1306</v>
      </c>
      <c r="B83" s="469" t="str">
        <f>'CDS-D'!$E$87</f>
        <v xml:space="preserve"> </v>
      </c>
    </row>
    <row r="84" spans="1:2" x14ac:dyDescent="0.25">
      <c r="A84" s="67" t="s">
        <v>1307</v>
      </c>
      <c r="B84" s="469" t="str">
        <f>'CDS-D'!$F$87</f>
        <v xml:space="preserve"> </v>
      </c>
    </row>
    <row r="85" spans="1:2" x14ac:dyDescent="0.25">
      <c r="A85" s="67" t="s">
        <v>1308</v>
      </c>
      <c r="B85" s="469" t="str">
        <f>'CDS-D'!$E$92</f>
        <v xml:space="preserve"> </v>
      </c>
    </row>
    <row r="86" spans="1:2" x14ac:dyDescent="0.25">
      <c r="A86" s="67" t="s">
        <v>1309</v>
      </c>
      <c r="B86" s="469" t="str">
        <f>'CDS-D'!$F$92</f>
        <v xml:space="preserve"> </v>
      </c>
    </row>
    <row r="87" spans="1:2" x14ac:dyDescent="0.25">
      <c r="A87" s="67" t="s">
        <v>1310</v>
      </c>
      <c r="B87" s="488" t="e">
        <f>'CDS-D'!$K$98</f>
        <v>#N/A</v>
      </c>
    </row>
    <row r="88" spans="1:2" x14ac:dyDescent="0.25">
      <c r="A88" s="67" t="s">
        <v>1311</v>
      </c>
      <c r="B88" s="489" t="str">
        <f>'CDS-D'!$B$102</f>
        <v xml:space="preserve"> </v>
      </c>
    </row>
    <row r="89" spans="1:2" x14ac:dyDescent="0.25">
      <c r="A89" s="67" t="s">
        <v>1312</v>
      </c>
      <c r="B89" s="469" t="str">
        <f>'CDS-D'!$B$105</f>
        <v xml:space="preserve"> </v>
      </c>
    </row>
    <row r="90" spans="1:2" x14ac:dyDescent="0.25">
      <c r="A90" s="67" t="s">
        <v>1297</v>
      </c>
      <c r="B90" s="490" t="e">
        <f>'CDS-D'!$K$55</f>
        <v>#N/A</v>
      </c>
    </row>
    <row r="91" spans="1:2" x14ac:dyDescent="0.25">
      <c r="A91" s="67" t="s">
        <v>1731</v>
      </c>
      <c r="B91" s="490">
        <f>'CDS-D'!$B$58</f>
        <v>0</v>
      </c>
    </row>
    <row r="92" spans="1:2" x14ac:dyDescent="0.25">
      <c r="A92" s="67" t="s">
        <v>1298</v>
      </c>
      <c r="B92" s="491" t="str">
        <f>'CDS-D'!$D$61</f>
        <v xml:space="preserve"> </v>
      </c>
    </row>
    <row r="93" spans="1:2" x14ac:dyDescent="0.25">
      <c r="A93" s="67" t="s">
        <v>1299</v>
      </c>
      <c r="B93" s="469">
        <f>'CDS-D'!$E$64</f>
        <v>64</v>
      </c>
    </row>
    <row r="94" spans="1:2" x14ac:dyDescent="0.25">
      <c r="A94" s="67" t="s">
        <v>1300</v>
      </c>
      <c r="B94" s="469" t="str">
        <f>'CDS-D'!$F$64</f>
        <v>Semester</v>
      </c>
    </row>
    <row r="95" spans="1:2" x14ac:dyDescent="0.25">
      <c r="A95" s="67" t="s">
        <v>1301</v>
      </c>
      <c r="B95" s="469">
        <f>'CDS-D'!$E$67</f>
        <v>64</v>
      </c>
    </row>
    <row r="96" spans="1:2" x14ac:dyDescent="0.25">
      <c r="A96" s="67" t="s">
        <v>1302</v>
      </c>
      <c r="B96" s="469" t="str">
        <f>'CDS-D'!$F$67</f>
        <v>Semester</v>
      </c>
    </row>
    <row r="97" spans="1:2" x14ac:dyDescent="0.25">
      <c r="A97" s="67" t="s">
        <v>1303</v>
      </c>
      <c r="B97" s="492" t="str">
        <f>'CDS-D'!$E$70</f>
        <v xml:space="preserve"> </v>
      </c>
    </row>
    <row r="98" spans="1:2" x14ac:dyDescent="0.25">
      <c r="A98" s="67" t="s">
        <v>1304</v>
      </c>
      <c r="B98" s="492">
        <f>'CDS-D'!$E$73</f>
        <v>64</v>
      </c>
    </row>
    <row r="99" spans="1:2" x14ac:dyDescent="0.25">
      <c r="A99" s="67" t="s">
        <v>1305</v>
      </c>
      <c r="B99" s="469">
        <f>'CDS-D'!$B$76</f>
        <v>0</v>
      </c>
    </row>
    <row r="100" spans="1:2" x14ac:dyDescent="0.25">
      <c r="A100" s="67" t="s">
        <v>1266</v>
      </c>
      <c r="B100" s="489" t="str">
        <f>_xlfn.CONCAT('CDS-D'!$K$20, 'CDS-D'!$K$21, 'CDS-D'!$K$22, 'CDS-D'!$K$23)</f>
        <v>Fall|Spring|</v>
      </c>
    </row>
    <row r="101" spans="1:2" x14ac:dyDescent="0.25">
      <c r="A101" s="67" t="s">
        <v>1267</v>
      </c>
      <c r="B101" s="469" t="str">
        <f>'CDS-D'!$K$25</f>
        <v>No</v>
      </c>
    </row>
    <row r="102" spans="1:2" x14ac:dyDescent="0.25">
      <c r="A102" s="67" t="s">
        <v>1268</v>
      </c>
      <c r="B102" s="490" t="str">
        <f>'CDS-D'!$E$26</f>
        <v xml:space="preserve"> </v>
      </c>
    </row>
    <row r="103" spans="1:2" x14ac:dyDescent="0.25">
      <c r="A103" s="67" t="s">
        <v>1269</v>
      </c>
      <c r="B103" s="469" t="str">
        <f>'CDS-D'!$K$31</f>
        <v>Required of All</v>
      </c>
    </row>
    <row r="104" spans="1:2" x14ac:dyDescent="0.25">
      <c r="A104" s="67" t="s">
        <v>1270</v>
      </c>
      <c r="B104" s="469" t="str">
        <f>'CDS-D'!$K$32</f>
        <v>Required of All</v>
      </c>
    </row>
    <row r="105" spans="1:2" x14ac:dyDescent="0.25">
      <c r="A105" s="67" t="s">
        <v>1271</v>
      </c>
      <c r="B105" s="469" t="str">
        <f>'CDS-D'!$K$33</f>
        <v>Required of All</v>
      </c>
    </row>
    <row r="106" spans="1:2" x14ac:dyDescent="0.25">
      <c r="A106" s="67" t="s">
        <v>1272</v>
      </c>
      <c r="B106" s="469" t="str">
        <f>'CDS-D'!$K$34</f>
        <v>Recommended of All</v>
      </c>
    </row>
    <row r="107" spans="1:2" x14ac:dyDescent="0.25">
      <c r="A107" s="67" t="s">
        <v>1273</v>
      </c>
      <c r="B107" s="469" t="str">
        <f>'CDS-D'!$K$35</f>
        <v>Required of All</v>
      </c>
    </row>
    <row r="108" spans="1:2" x14ac:dyDescent="0.25">
      <c r="A108" s="67" t="s">
        <v>1274</v>
      </c>
      <c r="B108" s="469" t="str">
        <f>'CDS-D'!$K$36</f>
        <v>Required of All</v>
      </c>
    </row>
    <row r="109" spans="1:2" x14ac:dyDescent="0.25">
      <c r="A109" s="67" t="s">
        <v>1275</v>
      </c>
      <c r="B109" s="469">
        <f>'CDS-D'!$E$38</f>
        <v>0</v>
      </c>
    </row>
    <row r="110" spans="1:2" x14ac:dyDescent="0.25">
      <c r="A110" s="67" t="s">
        <v>1276</v>
      </c>
      <c r="B110" s="490">
        <f>'CDS-D'!$E$40</f>
        <v>3</v>
      </c>
    </row>
    <row r="111" spans="1:2" x14ac:dyDescent="0.25">
      <c r="A111" s="67" t="s">
        <v>1755</v>
      </c>
      <c r="B111" s="493" t="str">
        <f>'CDS-D'!$B$43</f>
        <v xml:space="preserve"> </v>
      </c>
    </row>
    <row r="112" spans="1:2" x14ac:dyDescent="0.25">
      <c r="A112" s="67" t="s">
        <v>1277</v>
      </c>
      <c r="B112" s="494">
        <f>'CDS-D'!$C$47</f>
        <v>44287</v>
      </c>
    </row>
    <row r="113" spans="1:2" x14ac:dyDescent="0.25">
      <c r="A113" s="67" t="s">
        <v>1278</v>
      </c>
      <c r="B113" s="494">
        <f>'CDS-D'!$D$47</f>
        <v>44287</v>
      </c>
    </row>
    <row r="114" spans="1:2" x14ac:dyDescent="0.25">
      <c r="A114" s="67" t="s">
        <v>1279</v>
      </c>
      <c r="B114" s="494">
        <f>'CDS-D'!$E$47</f>
        <v>44317</v>
      </c>
    </row>
    <row r="115" spans="1:2" x14ac:dyDescent="0.25">
      <c r="A115" s="67" t="s">
        <v>1280</v>
      </c>
      <c r="B115" s="494">
        <f>'CDS-D'!$F$47</f>
        <v>44347</v>
      </c>
    </row>
    <row r="116" spans="1:2" x14ac:dyDescent="0.25">
      <c r="A116" s="67" t="s">
        <v>1281</v>
      </c>
      <c r="B116" s="494" t="str" cm="1">
        <f t="array" ref="B116">_xlfn.IFS('CDS-D'!$H$46=TRUE, "Fall - rolling admission", 'CDS-D'!$H$46=FALSE, "")</f>
        <v/>
      </c>
    </row>
    <row r="117" spans="1:2" x14ac:dyDescent="0.25">
      <c r="A117" s="67" t="s">
        <v>1282</v>
      </c>
      <c r="B117" s="494">
        <f>'CDS-D'!$C$48</f>
        <v>0</v>
      </c>
    </row>
    <row r="118" spans="1:2" x14ac:dyDescent="0.25">
      <c r="A118" s="67" t="s">
        <v>1283</v>
      </c>
      <c r="B118" s="494">
        <f>'CDS-D'!$D$48</f>
        <v>0</v>
      </c>
    </row>
    <row r="119" spans="1:2" x14ac:dyDescent="0.25">
      <c r="A119" s="67" t="s">
        <v>1284</v>
      </c>
      <c r="B119" s="494">
        <f>'CDS-D'!$E$48</f>
        <v>0</v>
      </c>
    </row>
    <row r="120" spans="1:2" x14ac:dyDescent="0.25">
      <c r="A120" s="67" t="s">
        <v>1285</v>
      </c>
      <c r="B120" s="494">
        <f>'CDS-D'!$F$48</f>
        <v>0</v>
      </c>
    </row>
    <row r="121" spans="1:2" x14ac:dyDescent="0.25">
      <c r="A121" s="67" t="s">
        <v>1286</v>
      </c>
      <c r="B121" s="494" t="str" cm="1">
        <f t="array" ref="B121">_xlfn.IFS('CDS-D'!$I$46=TRUE, "Winter - Rolling Admission", 'CDS-D'!$I$46=FALSE, "")</f>
        <v/>
      </c>
    </row>
    <row r="122" spans="1:2" x14ac:dyDescent="0.25">
      <c r="A122" s="67" t="s">
        <v>1291</v>
      </c>
      <c r="B122" s="494" t="str" cm="1">
        <f t="array" ref="B122">_xlfn.IFS('CDS-D'!$J$46=TRUE, "Spring - Rolling Admission", 'CDS-D'!$J$46=FALSE, "")</f>
        <v/>
      </c>
    </row>
    <row r="123" spans="1:2" x14ac:dyDescent="0.25">
      <c r="A123" s="67" t="s">
        <v>1296</v>
      </c>
      <c r="B123" s="494" t="str" cm="1">
        <f t="array" ref="B123">_xlfn.IFS('CDS-D'!$K$46=TRUE, "Summer - Rolling Admission", 'CDS-D'!$K$46=FALSE, "")</f>
        <v/>
      </c>
    </row>
    <row r="124" spans="1:2" x14ac:dyDescent="0.25">
      <c r="A124" s="67" t="s">
        <v>1287</v>
      </c>
      <c r="B124" s="494">
        <f>'CDS-D'!$C$49</f>
        <v>0</v>
      </c>
    </row>
    <row r="125" spans="1:2" x14ac:dyDescent="0.25">
      <c r="A125" s="67" t="s">
        <v>1292</v>
      </c>
      <c r="B125" s="494">
        <f>'CDS-D'!$C$50</f>
        <v>0</v>
      </c>
    </row>
    <row r="126" spans="1:2" x14ac:dyDescent="0.25">
      <c r="A126" s="67" t="s">
        <v>1288</v>
      </c>
      <c r="B126" s="494">
        <f>'CDS-D'!$D$49</f>
        <v>0</v>
      </c>
    </row>
    <row r="127" spans="1:2" x14ac:dyDescent="0.25">
      <c r="A127" s="67" t="s">
        <v>1293</v>
      </c>
      <c r="B127" s="494">
        <f>'CDS-D'!$D$50</f>
        <v>0</v>
      </c>
    </row>
    <row r="128" spans="1:2" x14ac:dyDescent="0.25">
      <c r="A128" s="67" t="s">
        <v>1289</v>
      </c>
      <c r="B128" s="494">
        <f>'CDS-D'!$E$49</f>
        <v>0</v>
      </c>
    </row>
    <row r="129" spans="1:2" x14ac:dyDescent="0.25">
      <c r="A129" s="67" t="s">
        <v>1294</v>
      </c>
      <c r="B129" s="494">
        <f>'CDS-D'!$E$50</f>
        <v>0</v>
      </c>
    </row>
    <row r="130" spans="1:2" x14ac:dyDescent="0.25">
      <c r="A130" s="67" t="s">
        <v>1290</v>
      </c>
      <c r="B130" s="494">
        <f>'CDS-D'!$F$49</f>
        <v>0</v>
      </c>
    </row>
    <row r="131" spans="1:2" x14ac:dyDescent="0.25">
      <c r="A131" s="67" t="s">
        <v>1295</v>
      </c>
      <c r="B131" s="494">
        <f>'CDS-D'!$F$50</f>
        <v>0</v>
      </c>
    </row>
    <row r="132" spans="1:2" x14ac:dyDescent="0.25">
      <c r="A132" s="471" t="s">
        <v>710</v>
      </c>
      <c r="B132" s="495">
        <f>'CDS-F'!$E$12</f>
        <v>1</v>
      </c>
    </row>
    <row r="133" spans="1:2" x14ac:dyDescent="0.25">
      <c r="A133" s="471" t="s">
        <v>712</v>
      </c>
      <c r="B133" s="496">
        <f>'CDS-F'!$E$11</f>
        <v>0</v>
      </c>
    </row>
    <row r="134" spans="1:2" x14ac:dyDescent="0.25">
      <c r="A134" s="472" t="s">
        <v>724</v>
      </c>
      <c r="B134" s="496">
        <f>'CDS-F'!$E$5</f>
        <v>0</v>
      </c>
    </row>
    <row r="135" spans="1:2" x14ac:dyDescent="0.25">
      <c r="A135" s="472" t="s">
        <v>722</v>
      </c>
      <c r="B135" s="496">
        <f>'CDS-F'!$E$6</f>
        <v>0</v>
      </c>
    </row>
    <row r="136" spans="1:2" x14ac:dyDescent="0.25">
      <c r="A136" s="471" t="s">
        <v>720</v>
      </c>
      <c r="B136" s="496">
        <f>'CDS-F'!$E$7</f>
        <v>0</v>
      </c>
    </row>
    <row r="137" spans="1:2" x14ac:dyDescent="0.25">
      <c r="A137" s="471" t="s">
        <v>718</v>
      </c>
      <c r="B137" s="496">
        <f>'CDS-F'!$E$8</f>
        <v>0</v>
      </c>
    </row>
    <row r="138" spans="1:2" x14ac:dyDescent="0.25">
      <c r="A138" s="471" t="s">
        <v>716</v>
      </c>
      <c r="B138" s="496">
        <f>'CDS-F'!$E$9</f>
        <v>0</v>
      </c>
    </row>
    <row r="139" spans="1:2" x14ac:dyDescent="0.25">
      <c r="A139" s="472" t="s">
        <v>714</v>
      </c>
      <c r="B139" s="496">
        <f>'CDS-F'!$E$10</f>
        <v>0</v>
      </c>
    </row>
    <row r="140" spans="1:2" x14ac:dyDescent="0.25">
      <c r="A140" s="471" t="s">
        <v>711</v>
      </c>
      <c r="B140" s="496">
        <f>'CDS-F'!$F$11</f>
        <v>0</v>
      </c>
    </row>
    <row r="141" spans="1:2" x14ac:dyDescent="0.25">
      <c r="A141" s="471" t="s">
        <v>709</v>
      </c>
      <c r="B141" s="495">
        <f>'CDS-F'!$F$12</f>
        <v>1</v>
      </c>
    </row>
    <row r="142" spans="1:2" x14ac:dyDescent="0.25">
      <c r="A142" s="471" t="s">
        <v>723</v>
      </c>
      <c r="B142" s="496">
        <f>'CDS-F'!$F$5</f>
        <v>0</v>
      </c>
    </row>
    <row r="143" spans="1:2" x14ac:dyDescent="0.25">
      <c r="A143" s="471" t="s">
        <v>721</v>
      </c>
      <c r="B143" s="496">
        <f>'CDS-F'!$F$6</f>
        <v>0</v>
      </c>
    </row>
    <row r="144" spans="1:2" x14ac:dyDescent="0.25">
      <c r="A144" s="471" t="s">
        <v>719</v>
      </c>
      <c r="B144" s="496">
        <f>'CDS-F'!$F$7</f>
        <v>0</v>
      </c>
    </row>
    <row r="145" spans="1:2" x14ac:dyDescent="0.25">
      <c r="A145" s="471" t="s">
        <v>717</v>
      </c>
      <c r="B145" s="496">
        <f>'CDS-F'!$F$8</f>
        <v>0</v>
      </c>
    </row>
    <row r="146" spans="1:2" x14ac:dyDescent="0.25">
      <c r="A146" s="471" t="s">
        <v>715</v>
      </c>
      <c r="B146" s="496">
        <f>'CDS-F'!$F$9</f>
        <v>0</v>
      </c>
    </row>
    <row r="147" spans="1:2" x14ac:dyDescent="0.25">
      <c r="A147" s="471" t="s">
        <v>713</v>
      </c>
      <c r="B147" s="496">
        <f>'CDS-F'!$F$10</f>
        <v>0</v>
      </c>
    </row>
    <row r="148" spans="1:2" x14ac:dyDescent="0.25">
      <c r="A148" s="472" t="s">
        <v>704</v>
      </c>
      <c r="B148" s="472" t="e">
        <f>_xlfn.CONCAT('CDS-F'!$L$46:$L$58)</f>
        <v>#N/A</v>
      </c>
    </row>
    <row r="149" spans="1:2" x14ac:dyDescent="0.25">
      <c r="A149" s="472" t="s">
        <v>708</v>
      </c>
      <c r="B149" s="472" t="str">
        <f>_xlfn.CONCAT('CDS-F'!$L$16:$L$36)</f>
        <v>Campus Ministries|Choral groups|Concert band|Dance|Drama/theater|International Student Organization|Jazz band|Literary magazine|Music ensembles|Musical theater|Opera|Pep band|Radio station|Student government|Student newspaper|Student-run film society|Symphony orchestra|</v>
      </c>
    </row>
    <row r="150" spans="1:2" x14ac:dyDescent="0.25">
      <c r="A150" s="472" t="s">
        <v>707</v>
      </c>
      <c r="B150" s="472" t="str">
        <f>_xlfn.CONCAT('CDS-F'!$K$40, "I", 'CDS-F'!$L$40, "I", 'CDS-F'!$F$40:$G$40)</f>
        <v xml:space="preserve">II </v>
      </c>
    </row>
    <row r="151" spans="1:2" x14ac:dyDescent="0.25">
      <c r="A151" s="472" t="s">
        <v>706</v>
      </c>
      <c r="B151" s="472" t="str">
        <f>_xlfn.CONCAT('CDS-F'!$K$41, "I", 'CDS-F'!$M$41, "I", 'CDS-F'!$F$40:$G$40)</f>
        <v xml:space="preserve">II </v>
      </c>
    </row>
    <row r="152" spans="1:2" x14ac:dyDescent="0.25">
      <c r="A152" s="472" t="s">
        <v>705</v>
      </c>
      <c r="B152" s="472" t="str">
        <f>_xlfn.CONCAT('CDS-F'!$K$42, "I", 'CDS-F'!$M$42, "I", 'CDS-F'!$F$41:$G$41)</f>
        <v>II</v>
      </c>
    </row>
    <row r="153" spans="1:2" x14ac:dyDescent="0.25">
      <c r="A153" s="67" t="s">
        <v>1026</v>
      </c>
      <c r="B153" s="497">
        <f>'CDS-J'!$D$6</f>
        <v>0</v>
      </c>
    </row>
    <row r="154" spans="1:2" x14ac:dyDescent="0.25">
      <c r="A154" s="67" t="s">
        <v>1027</v>
      </c>
      <c r="B154" s="497">
        <f>'CDS-J'!$D$7</f>
        <v>0</v>
      </c>
    </row>
    <row r="155" spans="1:2" x14ac:dyDescent="0.25">
      <c r="A155" s="67" t="s">
        <v>1028</v>
      </c>
      <c r="B155" s="497">
        <f>'CDS-J'!$D$8</f>
        <v>0</v>
      </c>
    </row>
    <row r="156" spans="1:2" x14ac:dyDescent="0.25">
      <c r="A156" s="67" t="s">
        <v>1029</v>
      </c>
      <c r="B156" s="497">
        <f>'CDS-J'!$D$9</f>
        <v>0</v>
      </c>
    </row>
    <row r="157" spans="1:2" x14ac:dyDescent="0.25">
      <c r="A157" s="67" t="s">
        <v>1030</v>
      </c>
      <c r="B157" s="497">
        <f>'CDS-J'!$D$10</f>
        <v>0</v>
      </c>
    </row>
    <row r="158" spans="1:2" x14ac:dyDescent="0.25">
      <c r="A158" s="67" t="s">
        <v>1031</v>
      </c>
      <c r="B158" s="497">
        <f>'CDS-J'!$D$11</f>
        <v>0</v>
      </c>
    </row>
    <row r="159" spans="1:2" x14ac:dyDescent="0.25">
      <c r="A159" s="67" t="s">
        <v>1032</v>
      </c>
      <c r="B159" s="497">
        <f>'CDS-J'!$D$12</f>
        <v>0</v>
      </c>
    </row>
    <row r="160" spans="1:2" x14ac:dyDescent="0.25">
      <c r="A160" s="67" t="s">
        <v>1033</v>
      </c>
      <c r="B160" s="497">
        <f>'CDS-J'!$D$13</f>
        <v>0</v>
      </c>
    </row>
    <row r="161" spans="1:2" x14ac:dyDescent="0.25">
      <c r="A161" s="67" t="s">
        <v>1034</v>
      </c>
      <c r="B161" s="497">
        <f>'CDS-J'!$D$14</f>
        <v>0</v>
      </c>
    </row>
    <row r="162" spans="1:2" x14ac:dyDescent="0.25">
      <c r="A162" s="67" t="s">
        <v>1035</v>
      </c>
      <c r="B162" s="497">
        <f>'CDS-J'!$D$15</f>
        <v>0</v>
      </c>
    </row>
    <row r="163" spans="1:2" x14ac:dyDescent="0.25">
      <c r="A163" s="67" t="s">
        <v>1036</v>
      </c>
      <c r="B163" s="497">
        <f>'CDS-J'!$D$16</f>
        <v>0</v>
      </c>
    </row>
    <row r="164" spans="1:2" x14ac:dyDescent="0.25">
      <c r="A164" s="67" t="s">
        <v>1037</v>
      </c>
      <c r="B164" s="497">
        <f>'CDS-J'!$D$17</f>
        <v>0</v>
      </c>
    </row>
    <row r="165" spans="1:2" x14ac:dyDescent="0.25">
      <c r="A165" s="67" t="s">
        <v>1038</v>
      </c>
      <c r="B165" s="497">
        <f>'CDS-J'!$D$18</f>
        <v>0</v>
      </c>
    </row>
    <row r="166" spans="1:2" x14ac:dyDescent="0.25">
      <c r="A166" s="67" t="s">
        <v>1039</v>
      </c>
      <c r="B166" s="497">
        <f>'CDS-J'!$D$19</f>
        <v>0</v>
      </c>
    </row>
    <row r="167" spans="1:2" x14ac:dyDescent="0.25">
      <c r="A167" s="67" t="s">
        <v>1040</v>
      </c>
      <c r="B167" s="497">
        <f>'CDS-J'!$D$20</f>
        <v>0</v>
      </c>
    </row>
    <row r="168" spans="1:2" x14ac:dyDescent="0.25">
      <c r="A168" s="67" t="s">
        <v>1041</v>
      </c>
      <c r="B168" s="497">
        <f>'CDS-J'!$D$21</f>
        <v>0</v>
      </c>
    </row>
    <row r="169" spans="1:2" x14ac:dyDescent="0.25">
      <c r="A169" s="67" t="s">
        <v>1042</v>
      </c>
      <c r="B169" s="497">
        <f>'CDS-J'!$D$22</f>
        <v>0</v>
      </c>
    </row>
    <row r="170" spans="1:2" x14ac:dyDescent="0.25">
      <c r="A170" s="67" t="s">
        <v>1043</v>
      </c>
      <c r="B170" s="497">
        <f>'CDS-J'!$D$23</f>
        <v>0</v>
      </c>
    </row>
    <row r="171" spans="1:2" x14ac:dyDescent="0.25">
      <c r="A171" s="67" t="s">
        <v>1044</v>
      </c>
      <c r="B171" s="497">
        <f>'CDS-J'!$D$24</f>
        <v>0</v>
      </c>
    </row>
    <row r="172" spans="1:2" x14ac:dyDescent="0.25">
      <c r="A172" s="67" t="s">
        <v>1045</v>
      </c>
      <c r="B172" s="497">
        <f>'CDS-J'!$D$25</f>
        <v>0</v>
      </c>
    </row>
    <row r="173" spans="1:2" x14ac:dyDescent="0.25">
      <c r="A173" s="67" t="s">
        <v>1046</v>
      </c>
      <c r="B173" s="497">
        <f>'CDS-J'!$D$26</f>
        <v>0</v>
      </c>
    </row>
    <row r="174" spans="1:2" x14ac:dyDescent="0.25">
      <c r="A174" s="67" t="s">
        <v>1047</v>
      </c>
      <c r="B174" s="497">
        <f>'CDS-J'!$D$27</f>
        <v>0</v>
      </c>
    </row>
    <row r="175" spans="1:2" x14ac:dyDescent="0.25">
      <c r="A175" s="67" t="s">
        <v>1048</v>
      </c>
      <c r="B175" s="497">
        <f>'CDS-J'!$D$28</f>
        <v>0</v>
      </c>
    </row>
    <row r="176" spans="1:2" x14ac:dyDescent="0.25">
      <c r="A176" s="67" t="s">
        <v>1049</v>
      </c>
      <c r="B176" s="497">
        <f>'CDS-J'!$D$29</f>
        <v>0</v>
      </c>
    </row>
    <row r="177" spans="1:2" x14ac:dyDescent="0.25">
      <c r="A177" s="67" t="s">
        <v>1050</v>
      </c>
      <c r="B177" s="497">
        <f>'CDS-J'!$D$30</f>
        <v>0</v>
      </c>
    </row>
    <row r="178" spans="1:2" x14ac:dyDescent="0.25">
      <c r="A178" s="67" t="s">
        <v>1051</v>
      </c>
      <c r="B178" s="497">
        <f>'CDS-J'!$D$31</f>
        <v>0</v>
      </c>
    </row>
    <row r="179" spans="1:2" x14ac:dyDescent="0.25">
      <c r="A179" s="67" t="s">
        <v>1052</v>
      </c>
      <c r="B179" s="497">
        <f>'CDS-J'!$D$32</f>
        <v>0</v>
      </c>
    </row>
    <row r="180" spans="1:2" x14ac:dyDescent="0.25">
      <c r="A180" s="67" t="s">
        <v>1053</v>
      </c>
      <c r="B180" s="497">
        <f>'CDS-J'!$D$33</f>
        <v>0</v>
      </c>
    </row>
    <row r="181" spans="1:2" x14ac:dyDescent="0.25">
      <c r="A181" s="67" t="s">
        <v>1054</v>
      </c>
      <c r="B181" s="497">
        <f>'CDS-J'!$D$34</f>
        <v>0</v>
      </c>
    </row>
    <row r="182" spans="1:2" x14ac:dyDescent="0.25">
      <c r="A182" s="67" t="s">
        <v>1055</v>
      </c>
      <c r="B182" s="497">
        <f>'CDS-J'!$D$35</f>
        <v>0</v>
      </c>
    </row>
    <row r="183" spans="1:2" x14ac:dyDescent="0.25">
      <c r="A183" s="67" t="s">
        <v>1056</v>
      </c>
      <c r="B183" s="497">
        <f>'CDS-J'!$D$36</f>
        <v>0</v>
      </c>
    </row>
    <row r="184" spans="1:2" x14ac:dyDescent="0.25">
      <c r="A184" s="67" t="s">
        <v>1057</v>
      </c>
      <c r="B184" s="497">
        <f>'CDS-J'!$D$37</f>
        <v>0</v>
      </c>
    </row>
    <row r="185" spans="1:2" x14ac:dyDescent="0.25">
      <c r="A185" s="67" t="s">
        <v>1058</v>
      </c>
      <c r="B185" s="497">
        <f>'CDS-J'!$D$38</f>
        <v>0</v>
      </c>
    </row>
    <row r="186" spans="1:2" x14ac:dyDescent="0.25">
      <c r="A186" s="67" t="s">
        <v>1059</v>
      </c>
      <c r="B186" s="497">
        <f>'CDS-J'!$D$39</f>
        <v>0</v>
      </c>
    </row>
    <row r="187" spans="1:2" x14ac:dyDescent="0.25">
      <c r="A187" s="67" t="s">
        <v>1060</v>
      </c>
      <c r="B187" s="497">
        <f>'CDS-J'!$D$40</f>
        <v>0</v>
      </c>
    </row>
    <row r="188" spans="1:2" x14ac:dyDescent="0.25">
      <c r="A188" s="67" t="s">
        <v>1061</v>
      </c>
      <c r="B188" s="497">
        <f>'CDS-J'!$D$41</f>
        <v>0</v>
      </c>
    </row>
    <row r="189" spans="1:2" x14ac:dyDescent="0.25">
      <c r="A189" s="67" t="s">
        <v>1062</v>
      </c>
      <c r="B189" s="497">
        <f>'CDS-J'!$D$42</f>
        <v>0</v>
      </c>
    </row>
    <row r="190" spans="1:2" x14ac:dyDescent="0.25">
      <c r="A190" s="67" t="s">
        <v>1063</v>
      </c>
      <c r="B190" s="497">
        <f>'CDS-J'!$D$43</f>
        <v>0</v>
      </c>
    </row>
    <row r="191" spans="1:2" x14ac:dyDescent="0.25">
      <c r="A191" s="67" t="s">
        <v>1064</v>
      </c>
      <c r="B191" s="497">
        <f>'CDS-J'!$D$44</f>
        <v>0</v>
      </c>
    </row>
    <row r="192" spans="1:2" x14ac:dyDescent="0.25">
      <c r="A192" s="67" t="s">
        <v>987</v>
      </c>
      <c r="B192" s="497" t="str">
        <f>'CDS-J'!$C$6</f>
        <v xml:space="preserve"> </v>
      </c>
    </row>
    <row r="193" spans="1:2" x14ac:dyDescent="0.25">
      <c r="A193" s="67" t="s">
        <v>988</v>
      </c>
      <c r="B193" s="497" t="str">
        <f>'CDS-J'!$C$7</f>
        <v xml:space="preserve"> </v>
      </c>
    </row>
    <row r="194" spans="1:2" x14ac:dyDescent="0.25">
      <c r="A194" s="67" t="s">
        <v>989</v>
      </c>
      <c r="B194" s="497" t="str">
        <f>'CDS-J'!$C$8</f>
        <v xml:space="preserve"> </v>
      </c>
    </row>
    <row r="195" spans="1:2" x14ac:dyDescent="0.25">
      <c r="A195" s="67" t="s">
        <v>990</v>
      </c>
      <c r="B195" s="497" t="str">
        <f>'CDS-J'!$C$9</f>
        <v xml:space="preserve"> </v>
      </c>
    </row>
    <row r="196" spans="1:2" x14ac:dyDescent="0.25">
      <c r="A196" s="67" t="s">
        <v>991</v>
      </c>
      <c r="B196" s="497" t="str">
        <f>'CDS-J'!$C$10</f>
        <v xml:space="preserve"> </v>
      </c>
    </row>
    <row r="197" spans="1:2" x14ac:dyDescent="0.25">
      <c r="A197" s="67" t="s">
        <v>992</v>
      </c>
      <c r="B197" s="497" t="str">
        <f>'CDS-J'!$C$11</f>
        <v xml:space="preserve"> </v>
      </c>
    </row>
    <row r="198" spans="1:2" x14ac:dyDescent="0.25">
      <c r="A198" s="67" t="s">
        <v>993</v>
      </c>
      <c r="B198" s="497" t="str">
        <f>'CDS-J'!$C$12</f>
        <v xml:space="preserve"> </v>
      </c>
    </row>
    <row r="199" spans="1:2" x14ac:dyDescent="0.25">
      <c r="A199" s="67" t="s">
        <v>994</v>
      </c>
      <c r="B199" s="497" t="str">
        <f>'CDS-J'!$C$13</f>
        <v xml:space="preserve"> </v>
      </c>
    </row>
    <row r="200" spans="1:2" x14ac:dyDescent="0.25">
      <c r="A200" s="67" t="s">
        <v>995</v>
      </c>
      <c r="B200" s="497" t="str">
        <f>'CDS-J'!C$14</f>
        <v xml:space="preserve"> </v>
      </c>
    </row>
    <row r="201" spans="1:2" x14ac:dyDescent="0.25">
      <c r="A201" s="67" t="s">
        <v>996</v>
      </c>
      <c r="B201" s="497" t="str">
        <f>'CDS-J'!$C$15</f>
        <v xml:space="preserve"> </v>
      </c>
    </row>
    <row r="202" spans="1:2" x14ac:dyDescent="0.25">
      <c r="A202" s="67" t="s">
        <v>997</v>
      </c>
      <c r="B202" s="497" t="str">
        <f>'CDS-J'!$C$16</f>
        <v xml:space="preserve"> </v>
      </c>
    </row>
    <row r="203" spans="1:2" x14ac:dyDescent="0.25">
      <c r="A203" s="67" t="s">
        <v>998</v>
      </c>
      <c r="B203" s="497" t="str">
        <f>'CDS-J'!$C$17</f>
        <v xml:space="preserve"> </v>
      </c>
    </row>
    <row r="204" spans="1:2" x14ac:dyDescent="0.25">
      <c r="A204" s="67" t="s">
        <v>999</v>
      </c>
      <c r="B204" s="497">
        <f>'CDS-J'!$C$18</f>
        <v>0</v>
      </c>
    </row>
    <row r="205" spans="1:2" x14ac:dyDescent="0.25">
      <c r="A205" s="67" t="s">
        <v>1000</v>
      </c>
      <c r="B205" s="497">
        <f>'CDS-J'!$C$19</f>
        <v>0</v>
      </c>
    </row>
    <row r="206" spans="1:2" x14ac:dyDescent="0.25">
      <c r="A206" s="67" t="s">
        <v>1001</v>
      </c>
      <c r="B206" s="497">
        <f>'CDS-J'!$C$20</f>
        <v>0</v>
      </c>
    </row>
    <row r="207" spans="1:2" x14ac:dyDescent="0.25">
      <c r="A207" s="67" t="s">
        <v>1002</v>
      </c>
      <c r="B207" s="497">
        <f>'CDS-J'!$C$21</f>
        <v>0</v>
      </c>
    </row>
    <row r="208" spans="1:2" x14ac:dyDescent="0.25">
      <c r="A208" s="67" t="s">
        <v>1003</v>
      </c>
      <c r="B208" s="497">
        <f>'CDS-J'!$C$22</f>
        <v>0</v>
      </c>
    </row>
    <row r="209" spans="1:2" x14ac:dyDescent="0.25">
      <c r="A209" s="67" t="s">
        <v>1004</v>
      </c>
      <c r="B209" s="497">
        <f>'CDS-J'!$C$23</f>
        <v>0</v>
      </c>
    </row>
    <row r="210" spans="1:2" x14ac:dyDescent="0.25">
      <c r="A210" s="67" t="s">
        <v>1005</v>
      </c>
      <c r="B210" s="497">
        <f>'CDS-J'!$C$24</f>
        <v>0</v>
      </c>
    </row>
    <row r="211" spans="1:2" x14ac:dyDescent="0.25">
      <c r="A211" s="67" t="s">
        <v>1006</v>
      </c>
      <c r="B211" s="497">
        <f>'CDS-J'!$C$25</f>
        <v>0</v>
      </c>
    </row>
    <row r="212" spans="1:2" x14ac:dyDescent="0.25">
      <c r="A212" s="67" t="s">
        <v>1007</v>
      </c>
      <c r="B212" s="497">
        <f>'CDS-J'!$C$26</f>
        <v>0</v>
      </c>
    </row>
    <row r="213" spans="1:2" x14ac:dyDescent="0.25">
      <c r="A213" s="67" t="s">
        <v>1008</v>
      </c>
      <c r="B213" s="497">
        <f>'CDS-J'!$C$27</f>
        <v>0</v>
      </c>
    </row>
    <row r="214" spans="1:2" x14ac:dyDescent="0.25">
      <c r="A214" s="67" t="s">
        <v>1009</v>
      </c>
      <c r="B214" s="497">
        <f>'CDS-J'!$C$28</f>
        <v>0</v>
      </c>
    </row>
    <row r="215" spans="1:2" x14ac:dyDescent="0.25">
      <c r="A215" s="67" t="s">
        <v>1010</v>
      </c>
      <c r="B215" s="497">
        <f>'CDS-J'!$C$29</f>
        <v>0</v>
      </c>
    </row>
    <row r="216" spans="1:2" x14ac:dyDescent="0.25">
      <c r="A216" s="67" t="s">
        <v>1011</v>
      </c>
      <c r="B216" s="497">
        <f>'CDS-J'!$C$30</f>
        <v>0</v>
      </c>
    </row>
    <row r="217" spans="1:2" x14ac:dyDescent="0.25">
      <c r="A217" s="67" t="s">
        <v>1012</v>
      </c>
      <c r="B217" s="497">
        <f>'CDS-J'!$C$31</f>
        <v>0</v>
      </c>
    </row>
    <row r="218" spans="1:2" x14ac:dyDescent="0.25">
      <c r="A218" s="67" t="s">
        <v>1013</v>
      </c>
      <c r="B218" s="497">
        <f>'CDS-J'!$C$32</f>
        <v>0</v>
      </c>
    </row>
    <row r="219" spans="1:2" x14ac:dyDescent="0.25">
      <c r="A219" s="67" t="s">
        <v>1014</v>
      </c>
      <c r="B219" s="497">
        <f>'CDS-J'!$C$33</f>
        <v>0</v>
      </c>
    </row>
    <row r="220" spans="1:2" x14ac:dyDescent="0.25">
      <c r="A220" s="67" t="s">
        <v>1015</v>
      </c>
      <c r="B220" s="497">
        <f>'CDS-J'!$C$34</f>
        <v>0</v>
      </c>
    </row>
    <row r="221" spans="1:2" x14ac:dyDescent="0.25">
      <c r="A221" s="67" t="s">
        <v>1016</v>
      </c>
      <c r="B221" s="497">
        <f>'CDS-J'!$C$35</f>
        <v>0</v>
      </c>
    </row>
    <row r="222" spans="1:2" x14ac:dyDescent="0.25">
      <c r="A222" s="67" t="s">
        <v>1017</v>
      </c>
      <c r="B222" s="497">
        <f>'CDS-J'!$C$36</f>
        <v>0</v>
      </c>
    </row>
    <row r="223" spans="1:2" x14ac:dyDescent="0.25">
      <c r="A223" s="67" t="s">
        <v>1018</v>
      </c>
      <c r="B223" s="497">
        <f>'CDS-J'!$C$37</f>
        <v>0</v>
      </c>
    </row>
    <row r="224" spans="1:2" x14ac:dyDescent="0.25">
      <c r="A224" s="67" t="s">
        <v>1019</v>
      </c>
      <c r="B224" s="497">
        <f>'CDS-J'!$C$38</f>
        <v>0</v>
      </c>
    </row>
    <row r="225" spans="1:2" x14ac:dyDescent="0.25">
      <c r="A225" s="67" t="s">
        <v>1020</v>
      </c>
      <c r="B225" s="497">
        <f>'CDS-J'!$C$39</f>
        <v>0</v>
      </c>
    </row>
    <row r="226" spans="1:2" x14ac:dyDescent="0.25">
      <c r="A226" s="67" t="s">
        <v>1021</v>
      </c>
      <c r="B226" s="497">
        <f>'CDS-J'!$C$40</f>
        <v>0</v>
      </c>
    </row>
    <row r="227" spans="1:2" x14ac:dyDescent="0.25">
      <c r="A227" s="67" t="s">
        <v>1022</v>
      </c>
      <c r="B227" s="497">
        <f>'CDS-J'!$C$41</f>
        <v>0</v>
      </c>
    </row>
    <row r="228" spans="1:2" x14ac:dyDescent="0.25">
      <c r="A228" s="67" t="s">
        <v>1023</v>
      </c>
      <c r="B228" s="497">
        <f>'CDS-J'!$C$42</f>
        <v>0</v>
      </c>
    </row>
    <row r="229" spans="1:2" x14ac:dyDescent="0.25">
      <c r="A229" s="67" t="s">
        <v>1024</v>
      </c>
      <c r="B229" s="497">
        <f>'CDS-J'!$C$43</f>
        <v>0</v>
      </c>
    </row>
    <row r="230" spans="1:2" x14ac:dyDescent="0.25">
      <c r="A230" s="67" t="s">
        <v>1025</v>
      </c>
      <c r="B230" s="497">
        <f>'CDS-J'!$C$44</f>
        <v>0</v>
      </c>
    </row>
    <row r="231" spans="1:2" x14ac:dyDescent="0.25">
      <c r="A231" s="67" t="s">
        <v>1065</v>
      </c>
      <c r="B231" s="497">
        <f>'CDS-J'!$E$6</f>
        <v>0</v>
      </c>
    </row>
    <row r="232" spans="1:2" x14ac:dyDescent="0.25">
      <c r="A232" s="67" t="s">
        <v>1066</v>
      </c>
      <c r="B232" s="497">
        <f>'CDS-J'!$E$7</f>
        <v>0</v>
      </c>
    </row>
    <row r="233" spans="1:2" x14ac:dyDescent="0.25">
      <c r="A233" s="67" t="s">
        <v>1067</v>
      </c>
      <c r="B233" s="497">
        <f>'CDS-J'!$E$8</f>
        <v>0</v>
      </c>
    </row>
    <row r="234" spans="1:2" x14ac:dyDescent="0.25">
      <c r="A234" s="67" t="s">
        <v>1068</v>
      </c>
      <c r="B234" s="497">
        <f>'CDS-J'!$E$9</f>
        <v>0</v>
      </c>
    </row>
    <row r="235" spans="1:2" x14ac:dyDescent="0.25">
      <c r="A235" s="67" t="s">
        <v>1069</v>
      </c>
      <c r="B235" s="497">
        <f>'CDS-J'!$E$10</f>
        <v>0</v>
      </c>
    </row>
    <row r="236" spans="1:2" x14ac:dyDescent="0.25">
      <c r="A236" s="67" t="s">
        <v>1070</v>
      </c>
      <c r="B236" s="497">
        <f>'CDS-J'!$E$11</f>
        <v>0</v>
      </c>
    </row>
    <row r="237" spans="1:2" x14ac:dyDescent="0.25">
      <c r="A237" s="67" t="s">
        <v>1071</v>
      </c>
      <c r="B237" s="497">
        <f>'CDS-J'!$E$12</f>
        <v>0</v>
      </c>
    </row>
    <row r="238" spans="1:2" x14ac:dyDescent="0.25">
      <c r="A238" s="67" t="s">
        <v>1072</v>
      </c>
      <c r="B238" s="497">
        <f>'CDS-J'!$E$13</f>
        <v>0</v>
      </c>
    </row>
    <row r="239" spans="1:2" x14ac:dyDescent="0.25">
      <c r="A239" s="67" t="s">
        <v>1073</v>
      </c>
      <c r="B239" s="497">
        <f>'CDS-J'!$E$14</f>
        <v>0</v>
      </c>
    </row>
    <row r="240" spans="1:2" x14ac:dyDescent="0.25">
      <c r="A240" s="67" t="s">
        <v>1074</v>
      </c>
      <c r="B240" s="497">
        <f>'CDS-J'!$E$15</f>
        <v>0</v>
      </c>
    </row>
    <row r="241" spans="1:2" x14ac:dyDescent="0.25">
      <c r="A241" s="67" t="s">
        <v>1075</v>
      </c>
      <c r="B241" s="497">
        <f>'CDS-J'!$E$16</f>
        <v>0</v>
      </c>
    </row>
    <row r="242" spans="1:2" x14ac:dyDescent="0.25">
      <c r="A242" s="67" t="s">
        <v>1076</v>
      </c>
      <c r="B242" s="497">
        <f>'CDS-J'!$E$17</f>
        <v>0</v>
      </c>
    </row>
    <row r="243" spans="1:2" x14ac:dyDescent="0.25">
      <c r="A243" s="67" t="s">
        <v>1077</v>
      </c>
      <c r="B243" s="497">
        <f>'CDS-J'!$E$18</f>
        <v>0</v>
      </c>
    </row>
    <row r="244" spans="1:2" x14ac:dyDescent="0.25">
      <c r="A244" s="67" t="s">
        <v>1078</v>
      </c>
      <c r="B244" s="497">
        <f>'CDS-J'!$E$19</f>
        <v>0</v>
      </c>
    </row>
    <row r="245" spans="1:2" x14ac:dyDescent="0.25">
      <c r="A245" s="67" t="s">
        <v>1079</v>
      </c>
      <c r="B245" s="497">
        <f>'CDS-J'!$E$20</f>
        <v>0</v>
      </c>
    </row>
    <row r="246" spans="1:2" x14ac:dyDescent="0.25">
      <c r="A246" s="67" t="s">
        <v>1080</v>
      </c>
      <c r="B246" s="497">
        <f>'CDS-J'!$E$21</f>
        <v>0</v>
      </c>
    </row>
    <row r="247" spans="1:2" x14ac:dyDescent="0.25">
      <c r="A247" s="67" t="s">
        <v>1081</v>
      </c>
      <c r="B247" s="497">
        <f>'CDS-J'!$E$22</f>
        <v>0</v>
      </c>
    </row>
    <row r="248" spans="1:2" x14ac:dyDescent="0.25">
      <c r="A248" s="67" t="s">
        <v>1082</v>
      </c>
      <c r="B248" s="497">
        <f>'CDS-J'!$E$23</f>
        <v>0</v>
      </c>
    </row>
    <row r="249" spans="1:2" x14ac:dyDescent="0.25">
      <c r="A249" s="67" t="s">
        <v>1083</v>
      </c>
      <c r="B249" s="497">
        <f>'CDS-J'!$E$24</f>
        <v>0</v>
      </c>
    </row>
    <row r="250" spans="1:2" x14ac:dyDescent="0.25">
      <c r="A250" s="67" t="s">
        <v>1084</v>
      </c>
      <c r="B250" s="497">
        <f>'CDS-J'!$E$25</f>
        <v>0</v>
      </c>
    </row>
    <row r="251" spans="1:2" x14ac:dyDescent="0.25">
      <c r="A251" s="67" t="s">
        <v>1085</v>
      </c>
      <c r="B251" s="497">
        <f>'CDS-J'!$E$26</f>
        <v>0</v>
      </c>
    </row>
    <row r="252" spans="1:2" x14ac:dyDescent="0.25">
      <c r="A252" s="67" t="s">
        <v>1086</v>
      </c>
      <c r="B252" s="497">
        <f>'CDS-J'!$E$27</f>
        <v>0</v>
      </c>
    </row>
    <row r="253" spans="1:2" x14ac:dyDescent="0.25">
      <c r="A253" s="67" t="s">
        <v>1087</v>
      </c>
      <c r="B253" s="497">
        <f>'CDS-J'!$E$28</f>
        <v>0</v>
      </c>
    </row>
    <row r="254" spans="1:2" x14ac:dyDescent="0.25">
      <c r="A254" s="67" t="s">
        <v>1088</v>
      </c>
      <c r="B254" s="497">
        <f>'CDS-J'!$E$29</f>
        <v>0</v>
      </c>
    </row>
    <row r="255" spans="1:2" x14ac:dyDescent="0.25">
      <c r="A255" s="67" t="s">
        <v>1089</v>
      </c>
      <c r="B255" s="497">
        <f>'CDS-J'!$E$30</f>
        <v>0</v>
      </c>
    </row>
    <row r="256" spans="1:2" x14ac:dyDescent="0.25">
      <c r="A256" s="67" t="s">
        <v>1090</v>
      </c>
      <c r="B256" s="497">
        <f>'CDS-J'!$E$31</f>
        <v>0</v>
      </c>
    </row>
    <row r="257" spans="1:2" x14ac:dyDescent="0.25">
      <c r="A257" s="67" t="s">
        <v>1091</v>
      </c>
      <c r="B257" s="497">
        <f>'CDS-J'!$E$32</f>
        <v>0</v>
      </c>
    </row>
    <row r="258" spans="1:2" x14ac:dyDescent="0.25">
      <c r="A258" s="67" t="s">
        <v>1092</v>
      </c>
      <c r="B258" s="497">
        <f>'CDS-J'!$E$33</f>
        <v>0</v>
      </c>
    </row>
    <row r="259" spans="1:2" x14ac:dyDescent="0.25">
      <c r="A259" s="67" t="s">
        <v>1093</v>
      </c>
      <c r="B259" s="497">
        <f>'CDS-J'!$E$34</f>
        <v>0</v>
      </c>
    </row>
    <row r="260" spans="1:2" x14ac:dyDescent="0.25">
      <c r="A260" s="67" t="s">
        <v>1094</v>
      </c>
      <c r="B260" s="497">
        <f>'CDS-J'!$E$35</f>
        <v>0</v>
      </c>
    </row>
    <row r="261" spans="1:2" x14ac:dyDescent="0.25">
      <c r="A261" s="67" t="s">
        <v>1095</v>
      </c>
      <c r="B261" s="497">
        <f>'CDS-J'!$E$36</f>
        <v>0</v>
      </c>
    </row>
    <row r="262" spans="1:2" x14ac:dyDescent="0.25">
      <c r="A262" s="67" t="s">
        <v>1096</v>
      </c>
      <c r="B262" s="497">
        <f>'CDS-J'!$E$37</f>
        <v>0</v>
      </c>
    </row>
    <row r="263" spans="1:2" x14ac:dyDescent="0.25">
      <c r="A263" s="67" t="s">
        <v>1097</v>
      </c>
      <c r="B263" s="497">
        <f>'CDS-J'!$E$38</f>
        <v>0</v>
      </c>
    </row>
    <row r="264" spans="1:2" x14ac:dyDescent="0.25">
      <c r="A264" s="67" t="s">
        <v>1098</v>
      </c>
      <c r="B264" s="497">
        <f>'CDS-J'!$E$39</f>
        <v>0</v>
      </c>
    </row>
    <row r="265" spans="1:2" x14ac:dyDescent="0.25">
      <c r="A265" s="67" t="s">
        <v>1099</v>
      </c>
      <c r="B265" s="497">
        <f>'CDS-J'!$E$40</f>
        <v>0</v>
      </c>
    </row>
    <row r="266" spans="1:2" x14ac:dyDescent="0.25">
      <c r="A266" s="67" t="s">
        <v>1100</v>
      </c>
      <c r="B266" s="497">
        <f>'CDS-J'!$E$41</f>
        <v>0</v>
      </c>
    </row>
    <row r="267" spans="1:2" x14ac:dyDescent="0.25">
      <c r="A267" s="67" t="s">
        <v>1101</v>
      </c>
      <c r="B267" s="497">
        <f>'CDS-J'!$E$42</f>
        <v>0</v>
      </c>
    </row>
    <row r="268" spans="1:2" x14ac:dyDescent="0.25">
      <c r="A268" s="67" t="s">
        <v>1102</v>
      </c>
      <c r="B268" s="497">
        <f>'CDS-J'!$E$43</f>
        <v>0</v>
      </c>
    </row>
    <row r="269" spans="1:2" x14ac:dyDescent="0.25">
      <c r="A269" s="67" t="s">
        <v>1103</v>
      </c>
      <c r="B269" s="497">
        <f>'CDS-J'!$E$44</f>
        <v>0</v>
      </c>
    </row>
    <row r="270" spans="1:2" x14ac:dyDescent="0.25">
      <c r="A270" s="472" t="s">
        <v>648</v>
      </c>
      <c r="B270" s="472" t="str">
        <f>_xlfn.CONCAT('CDS-E'!$E$29:$E$41)</f>
        <v>Arts/fine arts| English (including composition)|Foreign languages| Humanities|    Sciences (biological or physical)|Social science|Other|</v>
      </c>
    </row>
    <row r="271" spans="1:2" x14ac:dyDescent="0.25">
      <c r="A271" s="472" t="s">
        <v>647</v>
      </c>
      <c r="B271" s="472" t="str">
        <f>'CDS-E'!$B$42</f>
        <v>quantitative reasoning</v>
      </c>
    </row>
    <row r="272" spans="1:2" x14ac:dyDescent="0.25">
      <c r="A272" s="472" t="s">
        <v>650</v>
      </c>
      <c r="B272" s="472" t="str">
        <f>_xlfn.CONCAT('CDS-E'!$E$5:$E$23)</f>
        <v xml:space="preserve">         Honors program|Independent study|Internships| Student-designed major|Study abroad|    </v>
      </c>
    </row>
    <row r="273" spans="1:2" x14ac:dyDescent="0.25">
      <c r="A273" s="472" t="s">
        <v>649</v>
      </c>
      <c r="B273" s="472">
        <f>'CDS-E'!$B$24</f>
        <v>0</v>
      </c>
    </row>
    <row r="274" spans="1:2" x14ac:dyDescent="0.25">
      <c r="A274" s="67" t="s">
        <v>1115</v>
      </c>
      <c r="B274" s="498">
        <f>'CDS-G'!$D$22</f>
        <v>0</v>
      </c>
    </row>
    <row r="275" spans="1:2" x14ac:dyDescent="0.25">
      <c r="A275" s="67" t="s">
        <v>1116</v>
      </c>
      <c r="B275" s="498">
        <f>'CDS-G'!$D$24</f>
        <v>0</v>
      </c>
    </row>
    <row r="276" spans="1:2" x14ac:dyDescent="0.25">
      <c r="A276" s="67" t="s">
        <v>1117</v>
      </c>
      <c r="B276" s="498">
        <f>'CDS-G'!$D$25</f>
        <v>0</v>
      </c>
    </row>
    <row r="277" spans="1:2" x14ac:dyDescent="0.25">
      <c r="A277" s="67" t="s">
        <v>1118</v>
      </c>
      <c r="B277" s="498">
        <f>'CDS-G'!$D$26</f>
        <v>0</v>
      </c>
    </row>
    <row r="278" spans="1:2" x14ac:dyDescent="0.25">
      <c r="A278" s="67" t="s">
        <v>1119</v>
      </c>
      <c r="B278" s="498">
        <f>'CDS-G'!$D$27</f>
        <v>0</v>
      </c>
    </row>
    <row r="279" spans="1:2" x14ac:dyDescent="0.25">
      <c r="A279" s="67" t="s">
        <v>1120</v>
      </c>
      <c r="B279" s="498">
        <f>'CDS-G'!$D$29</f>
        <v>0</v>
      </c>
    </row>
    <row r="280" spans="1:2" x14ac:dyDescent="0.25">
      <c r="A280" s="67" t="s">
        <v>1121</v>
      </c>
      <c r="B280" s="498">
        <f>'CDS-G'!$D$30</f>
        <v>0</v>
      </c>
    </row>
    <row r="281" spans="1:2" x14ac:dyDescent="0.25">
      <c r="A281" s="67" t="s">
        <v>1122</v>
      </c>
      <c r="B281" s="498">
        <f>'CDS-G'!$D$31</f>
        <v>0</v>
      </c>
    </row>
    <row r="282" spans="1:2" x14ac:dyDescent="0.25">
      <c r="A282" s="67" t="s">
        <v>1123</v>
      </c>
      <c r="B282" s="498">
        <f>'CDS-G'!$D$32</f>
        <v>0</v>
      </c>
    </row>
    <row r="283" spans="1:2" x14ac:dyDescent="0.25">
      <c r="A283" s="67" t="s">
        <v>1112</v>
      </c>
      <c r="B283" s="498">
        <f>'CDS-G'!$C$32</f>
        <v>0</v>
      </c>
    </row>
    <row r="284" spans="1:2" x14ac:dyDescent="0.25">
      <c r="A284" s="67" t="s">
        <v>1104</v>
      </c>
      <c r="B284" s="498">
        <f>'CDS-G'!$C$22</f>
        <v>0</v>
      </c>
    </row>
    <row r="285" spans="1:2" x14ac:dyDescent="0.25">
      <c r="A285" s="67" t="s">
        <v>1105</v>
      </c>
      <c r="B285" s="498">
        <f>'CDS-G'!$C$24</f>
        <v>0</v>
      </c>
    </row>
    <row r="286" spans="1:2" x14ac:dyDescent="0.25">
      <c r="A286" s="67" t="s">
        <v>1106</v>
      </c>
      <c r="B286" s="498">
        <f>'CDS-G'!$C$25</f>
        <v>0</v>
      </c>
    </row>
    <row r="287" spans="1:2" x14ac:dyDescent="0.25">
      <c r="A287" s="67" t="s">
        <v>1109</v>
      </c>
      <c r="B287" s="498">
        <f>'CDS-G'!$C$26</f>
        <v>0</v>
      </c>
    </row>
    <row r="288" spans="1:2" x14ac:dyDescent="0.25">
      <c r="A288" s="67" t="s">
        <v>1107</v>
      </c>
      <c r="B288" s="498">
        <f>'CDS-G'!$C$27</f>
        <v>0</v>
      </c>
    </row>
    <row r="289" spans="1:2" x14ac:dyDescent="0.25">
      <c r="A289" s="67" t="s">
        <v>1108</v>
      </c>
      <c r="B289" s="498">
        <f>'CDS-G'!$C$29</f>
        <v>0</v>
      </c>
    </row>
    <row r="290" spans="1:2" x14ac:dyDescent="0.25">
      <c r="A290" s="67" t="s">
        <v>1110</v>
      </c>
      <c r="B290" s="498">
        <f>'CDS-G'!$C$30</f>
        <v>0</v>
      </c>
    </row>
    <row r="291" spans="1:2" x14ac:dyDescent="0.25">
      <c r="A291" s="67" t="s">
        <v>1111</v>
      </c>
      <c r="B291" s="498">
        <f>'CDS-G'!$C$31</f>
        <v>0</v>
      </c>
    </row>
    <row r="292" spans="1:2" x14ac:dyDescent="0.25">
      <c r="A292" s="67" t="s">
        <v>1113</v>
      </c>
      <c r="B292" s="498">
        <f>'CDS-G'!$E$34</f>
        <v>0</v>
      </c>
    </row>
    <row r="293" spans="1:2" x14ac:dyDescent="0.25">
      <c r="A293" s="67" t="s">
        <v>1114</v>
      </c>
      <c r="B293" s="498">
        <f>'CDS-G'!$C$36</f>
        <v>0</v>
      </c>
    </row>
    <row r="294" spans="1:2" x14ac:dyDescent="0.25">
      <c r="A294" s="67" t="s">
        <v>1129</v>
      </c>
      <c r="B294" s="498">
        <f>'CDS-G'!$C$48</f>
        <v>0</v>
      </c>
    </row>
    <row r="295" spans="1:2" x14ac:dyDescent="0.25">
      <c r="A295" s="67" t="s">
        <v>1136</v>
      </c>
      <c r="B295" s="498">
        <f>'CDS-G'!$C$52</f>
        <v>0</v>
      </c>
    </row>
    <row r="296" spans="1:2" x14ac:dyDescent="0.25">
      <c r="A296" s="67" t="s">
        <v>1139</v>
      </c>
      <c r="B296" s="498">
        <f>'CDS-G'!$C$53</f>
        <v>0</v>
      </c>
    </row>
    <row r="297" spans="1:2" x14ac:dyDescent="0.25">
      <c r="A297" s="67" t="s">
        <v>1130</v>
      </c>
      <c r="B297" s="498">
        <f>'CDS-G'!$D$48</f>
        <v>0</v>
      </c>
    </row>
    <row r="298" spans="1:2" x14ac:dyDescent="0.25">
      <c r="A298" s="67" t="s">
        <v>1133</v>
      </c>
      <c r="B298" s="498">
        <f>'CDS-G'!$D$50</f>
        <v>0</v>
      </c>
    </row>
    <row r="299" spans="1:2" x14ac:dyDescent="0.25">
      <c r="A299" s="67" t="s">
        <v>1137</v>
      </c>
      <c r="B299" s="498">
        <f>'CDS-G'!$D$52</f>
        <v>0</v>
      </c>
    </row>
    <row r="300" spans="1:2" x14ac:dyDescent="0.25">
      <c r="A300" s="67" t="s">
        <v>1140</v>
      </c>
      <c r="B300" s="498">
        <f>'CDS-G'!$D$53</f>
        <v>0</v>
      </c>
    </row>
    <row r="301" spans="1:2" x14ac:dyDescent="0.25">
      <c r="A301" s="67" t="s">
        <v>1131</v>
      </c>
      <c r="B301" s="498">
        <f>'CDS-G'!$E$48</f>
        <v>0</v>
      </c>
    </row>
    <row r="302" spans="1:2" x14ac:dyDescent="0.25">
      <c r="A302" s="67" t="s">
        <v>1132</v>
      </c>
      <c r="B302" s="498">
        <f>'CDS-G'!$E$49</f>
        <v>0</v>
      </c>
    </row>
    <row r="303" spans="1:2" x14ac:dyDescent="0.25">
      <c r="A303" s="67" t="s">
        <v>1134</v>
      </c>
      <c r="B303" s="498">
        <f>'CDS-G'!$E$50</f>
        <v>0</v>
      </c>
    </row>
    <row r="304" spans="1:2" x14ac:dyDescent="0.25">
      <c r="A304" s="67" t="s">
        <v>1135</v>
      </c>
      <c r="B304" s="498">
        <f>'CDS-G'!$E$51</f>
        <v>0</v>
      </c>
    </row>
    <row r="305" spans="1:2" x14ac:dyDescent="0.25">
      <c r="A305" s="67" t="s">
        <v>1138</v>
      </c>
      <c r="B305" s="498">
        <f>'CDS-G'!$E$52</f>
        <v>0</v>
      </c>
    </row>
    <row r="306" spans="1:2" x14ac:dyDescent="0.25">
      <c r="A306" s="67" t="s">
        <v>1141</v>
      </c>
      <c r="B306" s="498">
        <f>'CDS-G'!$E$53</f>
        <v>0</v>
      </c>
    </row>
    <row r="307" spans="1:2" x14ac:dyDescent="0.25">
      <c r="A307" s="67" t="s">
        <v>1142</v>
      </c>
      <c r="B307" s="498">
        <f>'CDS-G'!$C$57</f>
        <v>0</v>
      </c>
    </row>
    <row r="308" spans="1:2" x14ac:dyDescent="0.25">
      <c r="A308" s="67" t="s">
        <v>1143</v>
      </c>
      <c r="B308" s="498">
        <f>'CDS-G'!$C$59</f>
        <v>0</v>
      </c>
    </row>
    <row r="309" spans="1:2" x14ac:dyDescent="0.25">
      <c r="A309" s="67" t="s">
        <v>1144</v>
      </c>
      <c r="B309" s="498">
        <f>'CDS-G'!$C$60</f>
        <v>0</v>
      </c>
    </row>
    <row r="310" spans="1:2" x14ac:dyDescent="0.25">
      <c r="A310" s="67" t="s">
        <v>1145</v>
      </c>
      <c r="B310" s="498">
        <f>'CDS-G'!$C$61</f>
        <v>0</v>
      </c>
    </row>
    <row r="311" spans="1:2" x14ac:dyDescent="0.25">
      <c r="A311" s="67" t="s">
        <v>1146</v>
      </c>
      <c r="B311" s="498">
        <f>'CDS-G'!$C$62</f>
        <v>0</v>
      </c>
    </row>
    <row r="312" spans="1:2" x14ac:dyDescent="0.25">
      <c r="A312" s="472" t="s">
        <v>1124</v>
      </c>
      <c r="B312" s="499"/>
    </row>
    <row r="313" spans="1:2" x14ac:dyDescent="0.25">
      <c r="A313" s="67" t="s">
        <v>1128</v>
      </c>
      <c r="B313" s="67" t="e">
        <f>'CDS-G'!$H$43</f>
        <v>#N/A</v>
      </c>
    </row>
    <row r="314" spans="1:2" x14ac:dyDescent="0.25">
      <c r="A314" s="67" t="s">
        <v>1125</v>
      </c>
      <c r="B314" s="68" t="str">
        <f>'CDS-G'!$D$39</f>
        <v xml:space="preserve"> </v>
      </c>
    </row>
    <row r="315" spans="1:2" x14ac:dyDescent="0.25">
      <c r="A315" s="67" t="s">
        <v>1126</v>
      </c>
      <c r="B315" s="68" t="str">
        <f>'CDS-G'!$E$39</f>
        <v xml:space="preserve"> </v>
      </c>
    </row>
    <row r="316" spans="1:2" x14ac:dyDescent="0.25">
      <c r="A316" s="67" t="s">
        <v>1127</v>
      </c>
      <c r="B316" s="67" t="e">
        <f>'CDS-G'!$H$42</f>
        <v>#N/A</v>
      </c>
    </row>
    <row r="317" spans="1:2" x14ac:dyDescent="0.25">
      <c r="A317" s="469" t="s">
        <v>1571</v>
      </c>
      <c r="B317" s="500">
        <f>'CDS-C'!$E$13</f>
        <v>0</v>
      </c>
    </row>
    <row r="318" spans="1:2" x14ac:dyDescent="0.25">
      <c r="A318" s="473" t="s">
        <v>785</v>
      </c>
      <c r="B318" s="477">
        <f>'CDS-C'!$E$11</f>
        <v>3611</v>
      </c>
    </row>
    <row r="319" spans="1:2" x14ac:dyDescent="0.25">
      <c r="A319" s="470" t="s">
        <v>784</v>
      </c>
      <c r="B319" s="477">
        <f>'CDS-C'!$E$12</f>
        <v>4505</v>
      </c>
    </row>
    <row r="320" spans="1:2" x14ac:dyDescent="0.25">
      <c r="A320" s="469" t="s">
        <v>1572</v>
      </c>
      <c r="B320" s="501">
        <f>'CDS-C'!$E$17</f>
        <v>0</v>
      </c>
    </row>
    <row r="321" spans="1:2" x14ac:dyDescent="0.25">
      <c r="A321" s="470" t="s">
        <v>783</v>
      </c>
      <c r="B321" s="477">
        <f>'CDS-C'!$E$15</f>
        <v>1052</v>
      </c>
    </row>
    <row r="322" spans="1:2" x14ac:dyDescent="0.25">
      <c r="A322" s="470" t="s">
        <v>782</v>
      </c>
      <c r="B322" s="477">
        <f>'CDS-C'!$E$16</f>
        <v>1732</v>
      </c>
    </row>
    <row r="323" spans="1:2" x14ac:dyDescent="0.25">
      <c r="A323" s="469" t="s">
        <v>1573</v>
      </c>
      <c r="B323" s="500">
        <f>'CDS-C'!$E$25</f>
        <v>0</v>
      </c>
    </row>
    <row r="324" spans="1:2" x14ac:dyDescent="0.25">
      <c r="A324" s="469" t="s">
        <v>1574</v>
      </c>
      <c r="B324" s="500">
        <f>'CDS-C'!$E$26</f>
        <v>0</v>
      </c>
    </row>
    <row r="325" spans="1:2" x14ac:dyDescent="0.25">
      <c r="A325" s="470" t="s">
        <v>781</v>
      </c>
      <c r="B325" s="477">
        <f>'CDS-C'!$E$19</f>
        <v>221</v>
      </c>
    </row>
    <row r="326" spans="1:2" x14ac:dyDescent="0.25">
      <c r="A326" s="470" t="s">
        <v>779</v>
      </c>
      <c r="B326" s="477">
        <f>'CDS-C'!$E$22</f>
        <v>310</v>
      </c>
    </row>
    <row r="327" spans="1:2" x14ac:dyDescent="0.25">
      <c r="A327" s="470" t="s">
        <v>780</v>
      </c>
      <c r="B327" s="477" t="str">
        <f>'CDS-C'!$E$20</f>
        <v xml:space="preserve"> </v>
      </c>
    </row>
    <row r="328" spans="1:2" x14ac:dyDescent="0.25">
      <c r="A328" s="470" t="s">
        <v>778</v>
      </c>
      <c r="B328" s="477" t="str">
        <f>'CDS-C'!$E$23</f>
        <v xml:space="preserve"> </v>
      </c>
    </row>
    <row r="329" spans="1:2" x14ac:dyDescent="0.25">
      <c r="A329" s="470" t="s">
        <v>777</v>
      </c>
      <c r="B329" s="477">
        <f>'CDS-C'!$E$28</f>
        <v>8116</v>
      </c>
    </row>
    <row r="330" spans="1:2" x14ac:dyDescent="0.25">
      <c r="A330" s="470" t="s">
        <v>776</v>
      </c>
      <c r="B330" s="477">
        <f>'CDS-C'!$E$29</f>
        <v>2784</v>
      </c>
    </row>
    <row r="331" spans="1:2" x14ac:dyDescent="0.25">
      <c r="A331" s="470" t="s">
        <v>775</v>
      </c>
      <c r="B331" s="477">
        <f>'CDS-C'!$E$30</f>
        <v>531</v>
      </c>
    </row>
    <row r="332" spans="1:2" x14ac:dyDescent="0.25">
      <c r="A332" s="469" t="s">
        <v>1641</v>
      </c>
      <c r="B332" s="477">
        <f>'CDS-C'!$D$172</f>
        <v>149</v>
      </c>
    </row>
    <row r="333" spans="1:2" x14ac:dyDescent="0.25">
      <c r="A333" s="469" t="s">
        <v>1643</v>
      </c>
      <c r="B333" s="477">
        <f>'CDS-C'!$D$173</f>
        <v>142</v>
      </c>
    </row>
    <row r="334" spans="1:2" x14ac:dyDescent="0.25">
      <c r="A334" s="469" t="s">
        <v>1640</v>
      </c>
      <c r="B334" s="502">
        <f>'CDS-C'!$C$172</f>
        <v>0.28000000000000003</v>
      </c>
    </row>
    <row r="335" spans="1:2" x14ac:dyDescent="0.25">
      <c r="A335" s="469" t="s">
        <v>1642</v>
      </c>
      <c r="B335" s="502">
        <f>'CDS-C'!$C$173</f>
        <v>0.27</v>
      </c>
    </row>
    <row r="336" spans="1:2" x14ac:dyDescent="0.25">
      <c r="A336" s="469" t="s">
        <v>1575</v>
      </c>
      <c r="B336" s="477">
        <f>'CDS-C'!$C$179</f>
        <v>1580</v>
      </c>
    </row>
    <row r="337" spans="1:2" x14ac:dyDescent="0.25">
      <c r="A337" s="469" t="s">
        <v>1576</v>
      </c>
      <c r="B337" s="477">
        <f>'CDS-C'!$E$179</f>
        <v>1380</v>
      </c>
    </row>
    <row r="338" spans="1:2" x14ac:dyDescent="0.25">
      <c r="A338" s="469" t="s">
        <v>1577</v>
      </c>
      <c r="B338" s="477">
        <f>'CDS-C'!$C$180</f>
        <v>800</v>
      </c>
    </row>
    <row r="339" spans="1:2" x14ac:dyDescent="0.25">
      <c r="A339" s="469" t="s">
        <v>1578</v>
      </c>
      <c r="B339" s="477">
        <f>'CDS-C'!$E$180</f>
        <v>700</v>
      </c>
    </row>
    <row r="340" spans="1:2" x14ac:dyDescent="0.25">
      <c r="A340" s="469" t="s">
        <v>1579</v>
      </c>
      <c r="B340" s="477">
        <f>'CDS-C'!$C$181</f>
        <v>800</v>
      </c>
    </row>
    <row r="341" spans="1:2" x14ac:dyDescent="0.25">
      <c r="A341" s="469" t="s">
        <v>1580</v>
      </c>
      <c r="B341" s="477">
        <f>'CDS-C'!$E$181</f>
        <v>670</v>
      </c>
    </row>
    <row r="342" spans="1:2" x14ac:dyDescent="0.25">
      <c r="A342" s="469" t="s">
        <v>1581</v>
      </c>
      <c r="B342" s="477">
        <f>'CDS-C'!$C$182</f>
        <v>36</v>
      </c>
    </row>
    <row r="343" spans="1:2" x14ac:dyDescent="0.25">
      <c r="A343" s="469" t="s">
        <v>1582</v>
      </c>
      <c r="B343" s="477">
        <f>'CDS-C'!$E$182</f>
        <v>31</v>
      </c>
    </row>
    <row r="344" spans="1:2" x14ac:dyDescent="0.25">
      <c r="A344" s="469" t="s">
        <v>1583</v>
      </c>
      <c r="B344" s="477">
        <f>'CDS-C'!$C$183</f>
        <v>36</v>
      </c>
    </row>
    <row r="345" spans="1:2" x14ac:dyDescent="0.25">
      <c r="A345" s="469" t="s">
        <v>1584</v>
      </c>
      <c r="B345" s="477">
        <f>'CDS-C'!$E$183</f>
        <v>27</v>
      </c>
    </row>
    <row r="346" spans="1:2" x14ac:dyDescent="0.25">
      <c r="A346" s="469" t="s">
        <v>1585</v>
      </c>
      <c r="B346" s="477">
        <f>'CDS-C'!$C$184</f>
        <v>36</v>
      </c>
    </row>
    <row r="347" spans="1:2" x14ac:dyDescent="0.25">
      <c r="A347" s="469" t="s">
        <v>1586</v>
      </c>
      <c r="B347" s="477">
        <f>'CDS-C'!$E$184</f>
        <v>34</v>
      </c>
    </row>
    <row r="348" spans="1:2" x14ac:dyDescent="0.25">
      <c r="A348" s="469" t="s">
        <v>1591</v>
      </c>
      <c r="B348" s="477">
        <f>'CDS-C'!$C$187</f>
        <v>36</v>
      </c>
    </row>
    <row r="349" spans="1:2" x14ac:dyDescent="0.25">
      <c r="A349" s="469" t="s">
        <v>1592</v>
      </c>
      <c r="B349" s="477">
        <f>'CDS-C'!$E$187</f>
        <v>33</v>
      </c>
    </row>
    <row r="350" spans="1:2" x14ac:dyDescent="0.25">
      <c r="A350" s="469" t="s">
        <v>1589</v>
      </c>
      <c r="B350" s="477">
        <f>'CDS-C'!$C$186</f>
        <v>36</v>
      </c>
    </row>
    <row r="351" spans="1:2" x14ac:dyDescent="0.25">
      <c r="A351" s="469" t="s">
        <v>1590</v>
      </c>
      <c r="B351" s="477">
        <f>'CDS-C'!$E$186</f>
        <v>29</v>
      </c>
    </row>
    <row r="352" spans="1:2" x14ac:dyDescent="0.25">
      <c r="A352" s="469" t="s">
        <v>1587</v>
      </c>
      <c r="B352" s="477" t="str">
        <f>'CDS-C'!$C$185</f>
        <v>N/A</v>
      </c>
    </row>
    <row r="353" spans="1:2" x14ac:dyDescent="0.25">
      <c r="A353" s="469" t="s">
        <v>1588</v>
      </c>
      <c r="B353" s="477" t="str">
        <f>'CDS-C'!$E$185</f>
        <v>N/A</v>
      </c>
    </row>
    <row r="354" spans="1:2" x14ac:dyDescent="0.25">
      <c r="A354" s="469" t="s">
        <v>1593</v>
      </c>
      <c r="B354" s="503">
        <f>'CDS-C'!$C$192</f>
        <v>0.75800000000000001</v>
      </c>
    </row>
    <row r="355" spans="1:2" x14ac:dyDescent="0.25">
      <c r="A355" s="469" t="s">
        <v>1594</v>
      </c>
      <c r="B355" s="503">
        <f>'CDS-C'!$C$193</f>
        <v>0.24199999999999999</v>
      </c>
    </row>
    <row r="356" spans="1:2" x14ac:dyDescent="0.25">
      <c r="A356" s="469" t="s">
        <v>1595</v>
      </c>
      <c r="B356" s="503">
        <f>'CDS-C'!$C$194</f>
        <v>0</v>
      </c>
    </row>
    <row r="357" spans="1:2" x14ac:dyDescent="0.25">
      <c r="A357" s="469" t="s">
        <v>1596</v>
      </c>
      <c r="B357" s="503">
        <f>'CDS-C'!$C$195</f>
        <v>0</v>
      </c>
    </row>
    <row r="358" spans="1:2" x14ac:dyDescent="0.25">
      <c r="A358" s="469" t="s">
        <v>1597</v>
      </c>
      <c r="B358" s="503">
        <f>'CDS-C'!$C$196</f>
        <v>0</v>
      </c>
    </row>
    <row r="359" spans="1:2" x14ac:dyDescent="0.25">
      <c r="A359" s="469" t="s">
        <v>1598</v>
      </c>
      <c r="B359" s="503">
        <f>'CDS-C'!$C$197</f>
        <v>0</v>
      </c>
    </row>
    <row r="360" spans="1:2" x14ac:dyDescent="0.25">
      <c r="A360" s="469" t="s">
        <v>1599</v>
      </c>
      <c r="B360" s="503">
        <f>'CDS-C'!$D$192</f>
        <v>0.58399999999999996</v>
      </c>
    </row>
    <row r="361" spans="1:2" x14ac:dyDescent="0.25">
      <c r="A361" s="469" t="s">
        <v>1600</v>
      </c>
      <c r="B361" s="503">
        <f>'CDS-C'!$D$193</f>
        <v>0.40300000000000002</v>
      </c>
    </row>
    <row r="362" spans="1:2" x14ac:dyDescent="0.25">
      <c r="A362" s="469" t="s">
        <v>1601</v>
      </c>
      <c r="B362" s="503">
        <f>'CDS-C'!$D$194</f>
        <v>1.2999999999999999E-2</v>
      </c>
    </row>
    <row r="363" spans="1:2" x14ac:dyDescent="0.25">
      <c r="A363" s="469" t="s">
        <v>1602</v>
      </c>
      <c r="B363" s="503">
        <f>'CDS-C'!$D$195</f>
        <v>0</v>
      </c>
    </row>
    <row r="364" spans="1:2" x14ac:dyDescent="0.25">
      <c r="A364" s="469" t="s">
        <v>1603</v>
      </c>
      <c r="B364" s="503">
        <f>'CDS-C'!$D$196</f>
        <v>0</v>
      </c>
    </row>
    <row r="365" spans="1:2" x14ac:dyDescent="0.25">
      <c r="A365" s="469" t="s">
        <v>1604</v>
      </c>
      <c r="B365" s="503">
        <f>'CDS-C'!$D$197</f>
        <v>0</v>
      </c>
    </row>
    <row r="366" spans="1:2" x14ac:dyDescent="0.25">
      <c r="A366" s="469" t="s">
        <v>1605</v>
      </c>
      <c r="B366" s="477">
        <f>'CDS-C'!$C$201</f>
        <v>0.71099999999999997</v>
      </c>
    </row>
    <row r="367" spans="1:2" x14ac:dyDescent="0.25">
      <c r="A367" s="469" t="s">
        <v>1606</v>
      </c>
      <c r="B367" s="477">
        <f>'CDS-C'!$C$202</f>
        <v>0.28199999999999997</v>
      </c>
    </row>
    <row r="368" spans="1:2" x14ac:dyDescent="0.25">
      <c r="A368" s="469" t="s">
        <v>1607</v>
      </c>
      <c r="B368" s="477">
        <f>'CDS-C'!$C$203</f>
        <v>7.0000000000000001E-3</v>
      </c>
    </row>
    <row r="369" spans="1:2" x14ac:dyDescent="0.25">
      <c r="A369" s="469" t="s">
        <v>1608</v>
      </c>
      <c r="B369" s="477">
        <f>'CDS-C'!$C$204</f>
        <v>0</v>
      </c>
    </row>
    <row r="370" spans="1:2" x14ac:dyDescent="0.25">
      <c r="A370" s="469" t="s">
        <v>1609</v>
      </c>
      <c r="B370" s="477">
        <f>'CDS-C'!$C$205</f>
        <v>0</v>
      </c>
    </row>
    <row r="371" spans="1:2" x14ac:dyDescent="0.25">
      <c r="A371" s="469" t="s">
        <v>1610</v>
      </c>
      <c r="B371" s="477">
        <f>'CDS-C'!$C$206</f>
        <v>0</v>
      </c>
    </row>
    <row r="372" spans="1:2" x14ac:dyDescent="0.25">
      <c r="A372" s="469" t="s">
        <v>1611</v>
      </c>
      <c r="B372" s="503">
        <f>'CDS-C'!$C$210</f>
        <v>0.90800000000000003</v>
      </c>
    </row>
    <row r="373" spans="1:2" x14ac:dyDescent="0.25">
      <c r="A373" s="469" t="s">
        <v>1612</v>
      </c>
      <c r="B373" s="503">
        <f>'CDS-C'!$C$211</f>
        <v>9.1999999999999998E-2</v>
      </c>
    </row>
    <row r="374" spans="1:2" x14ac:dyDescent="0.25">
      <c r="A374" s="469" t="s">
        <v>1613</v>
      </c>
      <c r="B374" s="503">
        <f>'CDS-C'!$C$212</f>
        <v>0</v>
      </c>
    </row>
    <row r="375" spans="1:2" x14ac:dyDescent="0.25">
      <c r="A375" s="469" t="s">
        <v>1614</v>
      </c>
      <c r="B375" s="503">
        <f>'CDS-C'!$C$213</f>
        <v>0</v>
      </c>
    </row>
    <row r="376" spans="1:2" x14ac:dyDescent="0.25">
      <c r="A376" s="469" t="s">
        <v>1615</v>
      </c>
      <c r="B376" s="503">
        <f>'CDS-C'!$C$214</f>
        <v>0</v>
      </c>
    </row>
    <row r="377" spans="1:2" x14ac:dyDescent="0.25">
      <c r="A377" s="469" t="s">
        <v>1616</v>
      </c>
      <c r="B377" s="503">
        <f>'CDS-C'!$C$215</f>
        <v>0</v>
      </c>
    </row>
    <row r="378" spans="1:2" x14ac:dyDescent="0.25">
      <c r="A378" s="469" t="s">
        <v>1617</v>
      </c>
      <c r="B378" s="503">
        <f>'CDS-C'!$D$210</f>
        <v>0.92900000000000005</v>
      </c>
    </row>
    <row r="379" spans="1:2" x14ac:dyDescent="0.25">
      <c r="A379" s="469" t="s">
        <v>1618</v>
      </c>
      <c r="B379" s="503">
        <f>'CDS-C'!$D$211</f>
        <v>6.3E-2</v>
      </c>
    </row>
    <row r="380" spans="1:2" x14ac:dyDescent="0.25">
      <c r="A380" s="469" t="s">
        <v>1619</v>
      </c>
      <c r="B380" s="503">
        <f>'CDS-C'!$D$212</f>
        <v>7.0000000000000001E-3</v>
      </c>
    </row>
    <row r="381" spans="1:2" x14ac:dyDescent="0.25">
      <c r="A381" s="469" t="s">
        <v>1620</v>
      </c>
      <c r="B381" s="503">
        <f>'CDS-C'!$D$213</f>
        <v>0</v>
      </c>
    </row>
    <row r="382" spans="1:2" x14ac:dyDescent="0.25">
      <c r="A382" s="469" t="s">
        <v>1621</v>
      </c>
      <c r="B382" s="503">
        <f>'CDS-C'!$D$214</f>
        <v>0</v>
      </c>
    </row>
    <row r="383" spans="1:2" x14ac:dyDescent="0.25">
      <c r="A383" s="469" t="s">
        <v>1725</v>
      </c>
      <c r="B383" s="503">
        <f>'CDS-C'!$D$215</f>
        <v>0</v>
      </c>
    </row>
    <row r="384" spans="1:2" x14ac:dyDescent="0.25">
      <c r="A384" s="469" t="s">
        <v>1622</v>
      </c>
      <c r="B384" s="503">
        <f>'CDS-C'!$E$210</f>
        <v>0.54900000000000004</v>
      </c>
    </row>
    <row r="385" spans="1:2" x14ac:dyDescent="0.25">
      <c r="A385" s="469" t="s">
        <v>1623</v>
      </c>
      <c r="B385" s="503">
        <f>'CDS-C'!$E$211</f>
        <v>0.42899999999999999</v>
      </c>
    </row>
    <row r="386" spans="1:2" x14ac:dyDescent="0.25">
      <c r="A386" s="469" t="s">
        <v>1624</v>
      </c>
      <c r="B386" s="503">
        <f>'CDS-C'!$E$212</f>
        <v>1.4E-2</v>
      </c>
    </row>
    <row r="387" spans="1:2" x14ac:dyDescent="0.25">
      <c r="A387" s="469" t="s">
        <v>1625</v>
      </c>
      <c r="B387" s="503">
        <f>'CDS-C'!$E$213</f>
        <v>7.0000000000000001E-3</v>
      </c>
    </row>
    <row r="388" spans="1:2" x14ac:dyDescent="0.25">
      <c r="A388" s="469" t="s">
        <v>1626</v>
      </c>
      <c r="B388" s="503">
        <f>'CDS-C'!$E$214</f>
        <v>0</v>
      </c>
    </row>
    <row r="389" spans="1:2" x14ac:dyDescent="0.25">
      <c r="A389" s="469" t="s">
        <v>1627</v>
      </c>
      <c r="B389" s="503">
        <f>'CDS-C'!$E$215</f>
        <v>0</v>
      </c>
    </row>
    <row r="390" spans="1:2" x14ac:dyDescent="0.25">
      <c r="A390" s="469" t="s">
        <v>1634</v>
      </c>
      <c r="B390" s="503">
        <f>'CDS-C'!$G$210</f>
        <v>0.95099999999999996</v>
      </c>
    </row>
    <row r="391" spans="1:2" x14ac:dyDescent="0.25">
      <c r="A391" s="469" t="s">
        <v>1635</v>
      </c>
      <c r="B391" s="503">
        <f>'CDS-C'!$G$211</f>
        <v>4.2000000000000003E-2</v>
      </c>
    </row>
    <row r="392" spans="1:2" x14ac:dyDescent="0.25">
      <c r="A392" s="469" t="s">
        <v>1636</v>
      </c>
      <c r="B392" s="503">
        <f>'CDS-C'!$G$212</f>
        <v>7.0000000000000001E-3</v>
      </c>
    </row>
    <row r="393" spans="1:2" x14ac:dyDescent="0.25">
      <c r="A393" s="469" t="s">
        <v>1637</v>
      </c>
      <c r="B393" s="503">
        <f>'CDS-C'!$G$213</f>
        <v>0</v>
      </c>
    </row>
    <row r="394" spans="1:2" x14ac:dyDescent="0.25">
      <c r="A394" s="469" t="s">
        <v>1638</v>
      </c>
      <c r="B394" s="503">
        <f>'CDS-C'!$G$214</f>
        <v>0</v>
      </c>
    </row>
    <row r="395" spans="1:2" x14ac:dyDescent="0.25">
      <c r="A395" s="469" t="s">
        <v>1639</v>
      </c>
      <c r="B395" s="503">
        <f>'CDS-C'!$G$215</f>
        <v>0</v>
      </c>
    </row>
    <row r="396" spans="1:2" x14ac:dyDescent="0.25">
      <c r="A396" s="469" t="s">
        <v>1628</v>
      </c>
      <c r="B396" s="503">
        <f>'CDS-C'!$F$210</f>
        <v>0.73899999999999999</v>
      </c>
    </row>
    <row r="397" spans="1:2" x14ac:dyDescent="0.25">
      <c r="A397" s="469" t="s">
        <v>1629</v>
      </c>
      <c r="B397" s="503">
        <f>'CDS-C'!$F$211</f>
        <v>0.253</v>
      </c>
    </row>
    <row r="398" spans="1:2" x14ac:dyDescent="0.25">
      <c r="A398" s="469" t="s">
        <v>1630</v>
      </c>
      <c r="B398" s="503">
        <f>'CDS-C'!$F$212</f>
        <v>7.0000000000000001E-3</v>
      </c>
    </row>
    <row r="399" spans="1:2" x14ac:dyDescent="0.25">
      <c r="A399" s="469" t="s">
        <v>1631</v>
      </c>
      <c r="B399" s="503">
        <f>'CDS-C'!$F$213</f>
        <v>0</v>
      </c>
    </row>
    <row r="400" spans="1:2" x14ac:dyDescent="0.25">
      <c r="A400" s="469" t="s">
        <v>1632</v>
      </c>
      <c r="B400" s="503">
        <f>'CDS-C'!$F$214</f>
        <v>0</v>
      </c>
    </row>
    <row r="401" spans="1:2" x14ac:dyDescent="0.25">
      <c r="A401" s="469" t="s">
        <v>1633</v>
      </c>
      <c r="B401" s="503">
        <f>'CDS-C'!$F$215</f>
        <v>0</v>
      </c>
    </row>
    <row r="402" spans="1:2" x14ac:dyDescent="0.25">
      <c r="A402" s="469" t="s">
        <v>1644</v>
      </c>
      <c r="B402" s="504">
        <f>'CDS-C'!$E$220</f>
        <v>0.63300000000000001</v>
      </c>
    </row>
    <row r="403" spans="1:2" x14ac:dyDescent="0.25">
      <c r="A403" s="469" t="s">
        <v>1645</v>
      </c>
      <c r="B403" s="504">
        <f>'CDS-C'!$E$221</f>
        <v>0.86099999999999999</v>
      </c>
    </row>
    <row r="404" spans="1:2" x14ac:dyDescent="0.25">
      <c r="A404" s="469" t="s">
        <v>1646</v>
      </c>
      <c r="B404" s="504">
        <f>'CDS-C'!$E$222</f>
        <v>0.97399999999999998</v>
      </c>
    </row>
    <row r="405" spans="1:2" x14ac:dyDescent="0.25">
      <c r="A405" s="469" t="s">
        <v>1647</v>
      </c>
      <c r="B405" s="504">
        <f>'CDS-C'!$E$223</f>
        <v>2.5000000000000001E-2</v>
      </c>
    </row>
    <row r="406" spans="1:2" x14ac:dyDescent="0.25">
      <c r="A406" s="469" t="s">
        <v>1648</v>
      </c>
      <c r="B406" s="504">
        <f>'CDS-C'!$E$224</f>
        <v>0</v>
      </c>
    </row>
    <row r="407" spans="1:2" x14ac:dyDescent="0.25">
      <c r="A407" s="469" t="s">
        <v>1649</v>
      </c>
      <c r="B407" s="504">
        <f>'CDS-C'!$E$225</f>
        <v>0.153</v>
      </c>
    </row>
    <row r="408" spans="1:2" x14ac:dyDescent="0.25">
      <c r="A408" s="469" t="s">
        <v>1650</v>
      </c>
      <c r="B408" s="505">
        <f>'CDS-C'!$D$230</f>
        <v>0.54</v>
      </c>
    </row>
    <row r="409" spans="1:2" x14ac:dyDescent="0.25">
      <c r="A409" s="469" t="s">
        <v>1651</v>
      </c>
      <c r="B409" s="505">
        <f>'CDS-C'!$D$231</f>
        <v>0.23100000000000001</v>
      </c>
    </row>
    <row r="410" spans="1:2" x14ac:dyDescent="0.25">
      <c r="A410" s="469" t="s">
        <v>1652</v>
      </c>
      <c r="B410" s="505">
        <f>'CDS-C'!$D$232</f>
        <v>0.11700000000000001</v>
      </c>
    </row>
    <row r="411" spans="1:2" x14ac:dyDescent="0.25">
      <c r="A411" s="469" t="s">
        <v>1653</v>
      </c>
      <c r="B411" s="505">
        <f>'CDS-C'!$D$233</f>
        <v>7.5999999999999998E-2</v>
      </c>
    </row>
    <row r="412" spans="1:2" x14ac:dyDescent="0.25">
      <c r="A412" s="469" t="s">
        <v>1654</v>
      </c>
      <c r="B412" s="505">
        <f>'CDS-C'!$D$234</f>
        <v>1.9E-2</v>
      </c>
    </row>
    <row r="413" spans="1:2" x14ac:dyDescent="0.25">
      <c r="A413" s="469" t="s">
        <v>1655</v>
      </c>
      <c r="B413" s="505">
        <f>'CDS-C'!$D$235</f>
        <v>1.4E-2</v>
      </c>
    </row>
    <row r="414" spans="1:2" x14ac:dyDescent="0.25">
      <c r="A414" s="469" t="s">
        <v>1656</v>
      </c>
      <c r="B414" s="505">
        <f>'CDS-C'!$D$236</f>
        <v>0</v>
      </c>
    </row>
    <row r="415" spans="1:2" x14ac:dyDescent="0.25">
      <c r="A415" s="469" t="s">
        <v>1657</v>
      </c>
      <c r="B415" s="505">
        <f>'CDS-C'!$D$237</f>
        <v>0</v>
      </c>
    </row>
    <row r="416" spans="1:2" x14ac:dyDescent="0.25">
      <c r="A416" s="469" t="s">
        <v>1658</v>
      </c>
      <c r="B416" s="505">
        <f>'CDS-C'!$D$238</f>
        <v>0</v>
      </c>
    </row>
    <row r="417" spans="1:2" x14ac:dyDescent="0.25">
      <c r="A417" s="471" t="s">
        <v>931</v>
      </c>
      <c r="B417" s="506" t="str">
        <f>'CDS-B'!$C$16</f>
        <v xml:space="preserve"> </v>
      </c>
    </row>
    <row r="418" spans="1:2" x14ac:dyDescent="0.25">
      <c r="A418" s="471" t="s">
        <v>932</v>
      </c>
      <c r="B418" s="506" t="str">
        <f>'CDS-B'!$D$16</f>
        <v xml:space="preserve"> </v>
      </c>
    </row>
    <row r="419" spans="1:2" x14ac:dyDescent="0.25">
      <c r="A419" s="471" t="s">
        <v>933</v>
      </c>
      <c r="B419" s="506" t="str">
        <f>'CDS-B'!$F$16</f>
        <v xml:space="preserve"> </v>
      </c>
    </row>
    <row r="420" spans="1:2" x14ac:dyDescent="0.25">
      <c r="A420" s="471" t="s">
        <v>934</v>
      </c>
      <c r="B420" s="506" t="str">
        <f>'CDS-B'!$H$16</f>
        <v xml:space="preserve"> </v>
      </c>
    </row>
    <row r="421" spans="1:2" x14ac:dyDescent="0.25">
      <c r="A421" s="471" t="s">
        <v>935</v>
      </c>
      <c r="B421" s="506" t="str">
        <f>'CDS-B'!$C$17</f>
        <v xml:space="preserve"> </v>
      </c>
    </row>
    <row r="422" spans="1:2" x14ac:dyDescent="0.25">
      <c r="A422" s="67" t="s">
        <v>936</v>
      </c>
      <c r="B422" s="506" t="str">
        <f>'CDS-B'!$D$17</f>
        <v xml:space="preserve"> </v>
      </c>
    </row>
    <row r="423" spans="1:2" x14ac:dyDescent="0.25">
      <c r="A423" s="471" t="s">
        <v>937</v>
      </c>
      <c r="B423" s="506" t="str">
        <f>'CDS-B'!$F$17</f>
        <v xml:space="preserve"> </v>
      </c>
    </row>
    <row r="424" spans="1:2" x14ac:dyDescent="0.25">
      <c r="A424" s="471" t="s">
        <v>938</v>
      </c>
      <c r="B424" s="506" t="str">
        <f>'CDS-B'!$H$17</f>
        <v xml:space="preserve"> </v>
      </c>
    </row>
    <row r="425" spans="1:2" x14ac:dyDescent="0.25">
      <c r="A425" s="471" t="s">
        <v>939</v>
      </c>
      <c r="B425" s="506" t="e">
        <f>'CDS-B'!#REF!</f>
        <v>#REF!</v>
      </c>
    </row>
    <row r="426" spans="1:2" x14ac:dyDescent="0.25">
      <c r="A426" s="471" t="s">
        <v>940</v>
      </c>
      <c r="B426" s="506" t="str">
        <f>'CDS-B'!$D$18</f>
        <v xml:space="preserve"> </v>
      </c>
    </row>
    <row r="427" spans="1:2" x14ac:dyDescent="0.25">
      <c r="A427" s="471" t="s">
        <v>941</v>
      </c>
      <c r="B427" s="506" t="str">
        <f>'CDS-B'!$F$18</f>
        <v xml:space="preserve"> </v>
      </c>
    </row>
    <row r="428" spans="1:2" x14ac:dyDescent="0.25">
      <c r="A428" s="67" t="s">
        <v>942</v>
      </c>
      <c r="B428" s="506" t="str">
        <f>'CDS-B'!$H$18</f>
        <v xml:space="preserve"> </v>
      </c>
    </row>
    <row r="429" spans="1:2" x14ac:dyDescent="0.25">
      <c r="A429" s="471" t="s">
        <v>943</v>
      </c>
      <c r="B429" s="506">
        <f>'CDS-B'!$C$19</f>
        <v>0</v>
      </c>
    </row>
    <row r="430" spans="1:2" x14ac:dyDescent="0.25">
      <c r="A430" s="471" t="s">
        <v>944</v>
      </c>
      <c r="B430" s="506">
        <f>'CDS-B'!$D$19</f>
        <v>0</v>
      </c>
    </row>
    <row r="431" spans="1:2" x14ac:dyDescent="0.25">
      <c r="A431" s="471" t="s">
        <v>945</v>
      </c>
      <c r="B431" s="506">
        <f>'CDS-B'!$F$19</f>
        <v>0</v>
      </c>
    </row>
    <row r="432" spans="1:2" x14ac:dyDescent="0.25">
      <c r="A432" s="471" t="s">
        <v>946</v>
      </c>
      <c r="B432" s="506">
        <f>'CDS-B'!$H$19</f>
        <v>0</v>
      </c>
    </row>
    <row r="433" spans="1:2" x14ac:dyDescent="0.25">
      <c r="A433" s="67" t="s">
        <v>947</v>
      </c>
      <c r="B433" s="506">
        <f>SUM('CDS-B'!$C$19:$H$19)</f>
        <v>0</v>
      </c>
    </row>
    <row r="434" spans="1:2" x14ac:dyDescent="0.25">
      <c r="A434" s="67" t="s">
        <v>911</v>
      </c>
      <c r="B434" s="507">
        <f>'CDS-B'!$E$35</f>
        <v>220</v>
      </c>
    </row>
    <row r="435" spans="1:2" x14ac:dyDescent="0.25">
      <c r="A435" s="67" t="s">
        <v>912</v>
      </c>
      <c r="B435" s="507">
        <f>'CDS-B'!$E$36</f>
        <v>144</v>
      </c>
    </row>
    <row r="436" spans="1:2" x14ac:dyDescent="0.25">
      <c r="A436" s="67" t="s">
        <v>913</v>
      </c>
      <c r="B436" s="507">
        <f>'CDS-B'!$E$37</f>
        <v>55</v>
      </c>
    </row>
    <row r="437" spans="1:2" x14ac:dyDescent="0.25">
      <c r="A437" s="67" t="s">
        <v>914</v>
      </c>
      <c r="B437" s="507">
        <f>'CDS-B'!$E$38</f>
        <v>1246</v>
      </c>
    </row>
    <row r="438" spans="1:2" x14ac:dyDescent="0.25">
      <c r="A438" s="67" t="s">
        <v>915</v>
      </c>
      <c r="B438" s="507">
        <f>'CDS-B'!$E$39</f>
        <v>0</v>
      </c>
    </row>
    <row r="439" spans="1:2" x14ac:dyDescent="0.25">
      <c r="A439" s="67" t="s">
        <v>916</v>
      </c>
      <c r="B439" s="507">
        <f>'CDS-B'!$E$40</f>
        <v>85</v>
      </c>
    </row>
    <row r="440" spans="1:2" x14ac:dyDescent="0.25">
      <c r="A440" s="67" t="s">
        <v>917</v>
      </c>
      <c r="B440" s="507">
        <f>'CDS-B'!$E$41</f>
        <v>1</v>
      </c>
    </row>
    <row r="441" spans="1:2" x14ac:dyDescent="0.25">
      <c r="A441" s="67" t="s">
        <v>918</v>
      </c>
      <c r="B441" s="507">
        <f>'CDS-B'!$E$42</f>
        <v>102</v>
      </c>
    </row>
    <row r="442" spans="1:2" x14ac:dyDescent="0.25">
      <c r="A442" s="67" t="s">
        <v>919</v>
      </c>
      <c r="B442" s="507">
        <f>'CDS-B'!$E$43</f>
        <v>24</v>
      </c>
    </row>
    <row r="443" spans="1:2" x14ac:dyDescent="0.25">
      <c r="A443" s="67" t="s">
        <v>920</v>
      </c>
      <c r="B443" s="507">
        <f>'CDS-B'!$E$44</f>
        <v>1877</v>
      </c>
    </row>
    <row r="444" spans="1:2" x14ac:dyDescent="0.25">
      <c r="A444" s="67" t="s">
        <v>921</v>
      </c>
      <c r="B444" s="507">
        <f>'CDS-B'!$F$35</f>
        <v>220</v>
      </c>
    </row>
    <row r="445" spans="1:2" x14ac:dyDescent="0.25">
      <c r="A445" s="67" t="s">
        <v>922</v>
      </c>
      <c r="B445" s="507">
        <f>'CDS-B'!$F$36</f>
        <v>144</v>
      </c>
    </row>
    <row r="446" spans="1:2" x14ac:dyDescent="0.25">
      <c r="A446" s="67" t="s">
        <v>923</v>
      </c>
      <c r="B446" s="507">
        <f>'CDS-B'!$F$37</f>
        <v>55</v>
      </c>
    </row>
    <row r="447" spans="1:2" x14ac:dyDescent="0.25">
      <c r="A447" s="67" t="s">
        <v>924</v>
      </c>
      <c r="B447" s="507">
        <f>'CDS-B'!$F$38</f>
        <v>1246</v>
      </c>
    </row>
    <row r="448" spans="1:2" x14ac:dyDescent="0.25">
      <c r="A448" s="67" t="s">
        <v>925</v>
      </c>
      <c r="B448" s="507">
        <f>'CDS-B'!$F$39</f>
        <v>0</v>
      </c>
    </row>
    <row r="449" spans="1:2" x14ac:dyDescent="0.25">
      <c r="A449" s="67" t="s">
        <v>926</v>
      </c>
      <c r="B449" s="507">
        <f>'CDS-B'!$F$40</f>
        <v>85</v>
      </c>
    </row>
    <row r="450" spans="1:2" x14ac:dyDescent="0.25">
      <c r="A450" s="67" t="s">
        <v>927</v>
      </c>
      <c r="B450" s="507">
        <f>'CDS-B'!$F$41</f>
        <v>1</v>
      </c>
    </row>
    <row r="451" spans="1:2" x14ac:dyDescent="0.25">
      <c r="A451" s="67" t="s">
        <v>928</v>
      </c>
      <c r="B451" s="507">
        <f>'CDS-B'!$F$42</f>
        <v>102</v>
      </c>
    </row>
    <row r="452" spans="1:2" x14ac:dyDescent="0.25">
      <c r="A452" s="67" t="s">
        <v>929</v>
      </c>
      <c r="B452" s="507">
        <f>'CDS-B'!$F$43</f>
        <v>24</v>
      </c>
    </row>
    <row r="453" spans="1:2" x14ac:dyDescent="0.25">
      <c r="A453" s="67" t="s">
        <v>930</v>
      </c>
      <c r="B453" s="507">
        <f>'CDS-B'!$F$44</f>
        <v>1877</v>
      </c>
    </row>
    <row r="454" spans="1:2" x14ac:dyDescent="0.25">
      <c r="A454" s="67" t="s">
        <v>1559</v>
      </c>
      <c r="B454" s="507" t="str">
        <f>'CDS-B'!$E$9</f>
        <v xml:space="preserve"> </v>
      </c>
    </row>
    <row r="455" spans="1:2" x14ac:dyDescent="0.25">
      <c r="A455" s="67" t="s">
        <v>1560</v>
      </c>
      <c r="B455" s="507" t="str">
        <f>'CDS-B'!$H$9</f>
        <v xml:space="preserve"> </v>
      </c>
    </row>
    <row r="456" spans="1:2" x14ac:dyDescent="0.25">
      <c r="A456" s="471" t="s">
        <v>876</v>
      </c>
      <c r="B456" s="506">
        <f>'CDS-B'!$C$9</f>
        <v>223</v>
      </c>
    </row>
    <row r="457" spans="1:2" x14ac:dyDescent="0.25">
      <c r="A457" s="471" t="s">
        <v>877</v>
      </c>
      <c r="B457" s="507">
        <f>'CDS-B'!$D$9</f>
        <v>308</v>
      </c>
    </row>
    <row r="458" spans="1:2" x14ac:dyDescent="0.25">
      <c r="A458" s="471" t="s">
        <v>878</v>
      </c>
      <c r="B458" s="507" t="str">
        <f>'CDS-B'!$F$9</f>
        <v xml:space="preserve"> </v>
      </c>
    </row>
    <row r="459" spans="1:2" x14ac:dyDescent="0.25">
      <c r="A459" s="471" t="s">
        <v>879</v>
      </c>
      <c r="B459" s="507" t="str">
        <f>'CDS-B'!$H$9</f>
        <v xml:space="preserve"> </v>
      </c>
    </row>
    <row r="460" spans="1:2" x14ac:dyDescent="0.25">
      <c r="A460" s="67" t="s">
        <v>1561</v>
      </c>
      <c r="B460" s="507" t="str">
        <f>'CDS-B'!$E$10</f>
        <v xml:space="preserve"> </v>
      </c>
    </row>
    <row r="461" spans="1:2" x14ac:dyDescent="0.25">
      <c r="A461" s="67" t="s">
        <v>1562</v>
      </c>
      <c r="B461" s="507" t="str">
        <f>'CDS-B'!$H$10</f>
        <v xml:space="preserve"> </v>
      </c>
    </row>
    <row r="462" spans="1:2" x14ac:dyDescent="0.25">
      <c r="A462" s="471" t="s">
        <v>880</v>
      </c>
      <c r="B462" s="507">
        <f>'CDS-B'!$C$10</f>
        <v>9</v>
      </c>
    </row>
    <row r="463" spans="1:2" x14ac:dyDescent="0.25">
      <c r="A463" s="67" t="s">
        <v>881</v>
      </c>
      <c r="B463" s="507">
        <f>'CDS-B'!$D$10</f>
        <v>11</v>
      </c>
    </row>
    <row r="464" spans="1:2" x14ac:dyDescent="0.25">
      <c r="A464" s="471" t="s">
        <v>882</v>
      </c>
      <c r="B464" s="507" t="str">
        <f>'CDS-B'!$F$10</f>
        <v xml:space="preserve"> </v>
      </c>
    </row>
    <row r="465" spans="1:2" x14ac:dyDescent="0.25">
      <c r="A465" s="471" t="s">
        <v>883</v>
      </c>
      <c r="B465" s="507" t="str">
        <f>'CDS-B'!$H$10</f>
        <v xml:space="preserve"> </v>
      </c>
    </row>
    <row r="466" spans="1:2" x14ac:dyDescent="0.25">
      <c r="A466" s="67" t="s">
        <v>901</v>
      </c>
      <c r="B466" s="507">
        <f>'CDS-B'!$D$35</f>
        <v>53</v>
      </c>
    </row>
    <row r="467" spans="1:2" x14ac:dyDescent="0.25">
      <c r="A467" s="67" t="s">
        <v>902</v>
      </c>
      <c r="B467" s="507">
        <f>'CDS-B'!$D$36</f>
        <v>45</v>
      </c>
    </row>
    <row r="468" spans="1:2" x14ac:dyDescent="0.25">
      <c r="A468" s="67" t="s">
        <v>903</v>
      </c>
      <c r="B468" s="507">
        <f>'CDS-B'!$D$37</f>
        <v>14</v>
      </c>
    </row>
    <row r="469" spans="1:2" x14ac:dyDescent="0.25">
      <c r="A469" s="67" t="s">
        <v>904</v>
      </c>
      <c r="B469" s="507">
        <f>'CDS-B'!$D$38</f>
        <v>346</v>
      </c>
    </row>
    <row r="470" spans="1:2" x14ac:dyDescent="0.25">
      <c r="A470" s="67" t="s">
        <v>905</v>
      </c>
      <c r="B470" s="507">
        <f>'CDS-B'!$D$39</f>
        <v>0</v>
      </c>
    </row>
    <row r="471" spans="1:2" x14ac:dyDescent="0.25">
      <c r="A471" s="67" t="s">
        <v>906</v>
      </c>
      <c r="B471" s="507">
        <f>'CDS-B'!$D$40</f>
        <v>32</v>
      </c>
    </row>
    <row r="472" spans="1:2" x14ac:dyDescent="0.25">
      <c r="A472" s="67" t="s">
        <v>907</v>
      </c>
      <c r="B472" s="507">
        <f>'CDS-B'!$D$41</f>
        <v>0</v>
      </c>
    </row>
    <row r="473" spans="1:2" x14ac:dyDescent="0.25">
      <c r="A473" s="67" t="s">
        <v>908</v>
      </c>
      <c r="B473" s="507">
        <f>'CDS-B'!$D$42</f>
        <v>36</v>
      </c>
    </row>
    <row r="474" spans="1:2" x14ac:dyDescent="0.25">
      <c r="A474" s="67" t="s">
        <v>909</v>
      </c>
      <c r="B474" s="507">
        <f>'CDS-B'!$D$43</f>
        <v>5</v>
      </c>
    </row>
    <row r="475" spans="1:2" x14ac:dyDescent="0.25">
      <c r="A475" s="67" t="s">
        <v>910</v>
      </c>
      <c r="B475" s="507">
        <f>'CDS-B'!$D$44</f>
        <v>531</v>
      </c>
    </row>
    <row r="476" spans="1:2" x14ac:dyDescent="0.25">
      <c r="A476" s="67" t="s">
        <v>1917</v>
      </c>
      <c r="B476" s="506" t="str">
        <f>'CDS-B'!$E$16</f>
        <v xml:space="preserve"> </v>
      </c>
    </row>
    <row r="477" spans="1:2" x14ac:dyDescent="0.25">
      <c r="A477" s="67" t="s">
        <v>1732</v>
      </c>
      <c r="B477" s="507" t="str">
        <f>'CDS-B'!$H$16</f>
        <v xml:space="preserve"> </v>
      </c>
    </row>
    <row r="478" spans="1:2" x14ac:dyDescent="0.25">
      <c r="A478" s="67" t="s">
        <v>1733</v>
      </c>
      <c r="B478" s="506" t="str">
        <f>'CDS-B'!$E$17</f>
        <v xml:space="preserve"> </v>
      </c>
    </row>
    <row r="479" spans="1:2" x14ac:dyDescent="0.25">
      <c r="A479" s="67" t="s">
        <v>1734</v>
      </c>
      <c r="B479" s="506" t="str">
        <f>'CDS-B'!$H$17</f>
        <v xml:space="preserve"> </v>
      </c>
    </row>
    <row r="480" spans="1:2" x14ac:dyDescent="0.25">
      <c r="A480" s="67" t="s">
        <v>1735</v>
      </c>
      <c r="B480" s="506" t="str">
        <f>'CDS-B'!$E$18</f>
        <v xml:space="preserve"> </v>
      </c>
    </row>
    <row r="481" spans="1:2" x14ac:dyDescent="0.25">
      <c r="A481" s="67" t="s">
        <v>1736</v>
      </c>
      <c r="B481" s="506" t="str">
        <f>'CDS-B'!$H$18</f>
        <v xml:space="preserve"> </v>
      </c>
    </row>
    <row r="482" spans="1:2" x14ac:dyDescent="0.25">
      <c r="A482" s="67" t="s">
        <v>1737</v>
      </c>
      <c r="B482" s="506">
        <f>'CDS-B'!$E$19</f>
        <v>0</v>
      </c>
    </row>
    <row r="483" spans="1:2" x14ac:dyDescent="0.25">
      <c r="A483" s="67" t="s">
        <v>1738</v>
      </c>
      <c r="B483" s="506">
        <f>'CDS-B'!$H$19</f>
        <v>0</v>
      </c>
    </row>
    <row r="484" spans="1:2" x14ac:dyDescent="0.25">
      <c r="A484" s="67" t="s">
        <v>1563</v>
      </c>
      <c r="B484" s="507" t="str">
        <f>'CDS-B'!$E$11</f>
        <v xml:space="preserve"> </v>
      </c>
    </row>
    <row r="485" spans="1:2" x14ac:dyDescent="0.25">
      <c r="A485" s="67" t="s">
        <v>1564</v>
      </c>
      <c r="B485" s="507" t="str">
        <f>'CDS-B'!$H$11</f>
        <v xml:space="preserve"> </v>
      </c>
    </row>
    <row r="486" spans="1:2" x14ac:dyDescent="0.25">
      <c r="A486" s="471" t="s">
        <v>884</v>
      </c>
      <c r="B486" s="507">
        <f>'CDS-B'!$C$11</f>
        <v>592</v>
      </c>
    </row>
    <row r="487" spans="1:2" x14ac:dyDescent="0.25">
      <c r="A487" s="471" t="s">
        <v>885</v>
      </c>
      <c r="B487" s="507">
        <f>'CDS-B'!$D$11</f>
        <v>734</v>
      </c>
    </row>
    <row r="488" spans="1:2" x14ac:dyDescent="0.25">
      <c r="A488" s="471" t="s">
        <v>886</v>
      </c>
      <c r="B488" s="507" t="str">
        <f>'CDS-B'!$F$11</f>
        <v xml:space="preserve"> </v>
      </c>
    </row>
    <row r="489" spans="1:2" x14ac:dyDescent="0.25">
      <c r="A489" s="471" t="s">
        <v>887</v>
      </c>
      <c r="B489" s="507" t="str">
        <f>'CDS-B'!$H$11</f>
        <v xml:space="preserve"> </v>
      </c>
    </row>
    <row r="490" spans="1:2" x14ac:dyDescent="0.25">
      <c r="A490" s="67" t="s">
        <v>1565</v>
      </c>
      <c r="B490" s="507">
        <f>'CDS-B'!$E$12</f>
        <v>0</v>
      </c>
    </row>
    <row r="491" spans="1:2" x14ac:dyDescent="0.25">
      <c r="A491" s="67" t="s">
        <v>1566</v>
      </c>
      <c r="B491" s="507">
        <f>'CDS-B'!$H$12</f>
        <v>0</v>
      </c>
    </row>
    <row r="492" spans="1:2" x14ac:dyDescent="0.25">
      <c r="A492" s="471" t="s">
        <v>888</v>
      </c>
      <c r="B492" s="507">
        <f>'CDS-B'!$C$12</f>
        <v>824</v>
      </c>
    </row>
    <row r="493" spans="1:2" x14ac:dyDescent="0.25">
      <c r="A493" s="471" t="s">
        <v>889</v>
      </c>
      <c r="B493" s="507">
        <f>'CDS-B'!$D$12</f>
        <v>1053</v>
      </c>
    </row>
    <row r="494" spans="1:2" x14ac:dyDescent="0.25">
      <c r="A494" s="471" t="s">
        <v>890</v>
      </c>
      <c r="B494" s="507">
        <f>'CDS-B'!$F$12</f>
        <v>0</v>
      </c>
    </row>
    <row r="495" spans="1:2" x14ac:dyDescent="0.25">
      <c r="A495" s="67" t="s">
        <v>891</v>
      </c>
      <c r="B495" s="507">
        <f>'CDS-B'!$H$12</f>
        <v>0</v>
      </c>
    </row>
    <row r="496" spans="1:2" x14ac:dyDescent="0.25">
      <c r="A496" s="67" t="s">
        <v>900</v>
      </c>
      <c r="B496" s="507">
        <f>SUM('CDS-B'!$C$14:$H$14)</f>
        <v>1887</v>
      </c>
    </row>
    <row r="497" spans="1:2" x14ac:dyDescent="0.25">
      <c r="A497" s="67" t="s">
        <v>1567</v>
      </c>
      <c r="B497" s="507" t="str">
        <f>'CDS-B'!$E$13</f>
        <v xml:space="preserve"> </v>
      </c>
    </row>
    <row r="498" spans="1:2" x14ac:dyDescent="0.25">
      <c r="A498" s="67" t="s">
        <v>1568</v>
      </c>
      <c r="B498" s="507" t="str">
        <f>'CDS-B'!$H$13</f>
        <v xml:space="preserve"> </v>
      </c>
    </row>
    <row r="499" spans="1:2" x14ac:dyDescent="0.25">
      <c r="A499" s="471" t="s">
        <v>892</v>
      </c>
      <c r="B499" s="507">
        <f>'CDS-B'!$C$13</f>
        <v>0</v>
      </c>
    </row>
    <row r="500" spans="1:2" x14ac:dyDescent="0.25">
      <c r="A500" s="471" t="s">
        <v>893</v>
      </c>
      <c r="B500" s="507" t="str">
        <f>'CDS-B'!$D$13</f>
        <v xml:space="preserve"> </v>
      </c>
    </row>
    <row r="501" spans="1:2" x14ac:dyDescent="0.25">
      <c r="A501" s="471" t="s">
        <v>894</v>
      </c>
      <c r="B501" s="507">
        <f>'CDS-B'!$F$13</f>
        <v>3</v>
      </c>
    </row>
    <row r="502" spans="1:2" x14ac:dyDescent="0.25">
      <c r="A502" s="471" t="s">
        <v>895</v>
      </c>
      <c r="B502" s="507" t="str">
        <f>'CDS-B'!$H$13</f>
        <v xml:space="preserve"> </v>
      </c>
    </row>
    <row r="503" spans="1:2" x14ac:dyDescent="0.25">
      <c r="A503" s="67" t="s">
        <v>1569</v>
      </c>
      <c r="B503" s="507">
        <f>'CDS-B'!$E$14</f>
        <v>0</v>
      </c>
    </row>
    <row r="504" spans="1:2" x14ac:dyDescent="0.25">
      <c r="A504" s="67" t="s">
        <v>1726</v>
      </c>
      <c r="B504" s="507">
        <f>'CDS-B'!$H$14</f>
        <v>0</v>
      </c>
    </row>
    <row r="505" spans="1:2" x14ac:dyDescent="0.25">
      <c r="A505" s="471" t="s">
        <v>896</v>
      </c>
      <c r="B505" s="507">
        <f>'CDS-B'!$C$14</f>
        <v>824</v>
      </c>
    </row>
    <row r="506" spans="1:2" x14ac:dyDescent="0.25">
      <c r="A506" s="471" t="s">
        <v>897</v>
      </c>
      <c r="B506" s="507">
        <f>'CDS-B'!$D$14</f>
        <v>1053</v>
      </c>
    </row>
    <row r="507" spans="1:2" x14ac:dyDescent="0.25">
      <c r="A507" s="471" t="s">
        <v>898</v>
      </c>
      <c r="B507" s="507">
        <f>'CDS-B'!$F$14</f>
        <v>3</v>
      </c>
    </row>
    <row r="508" spans="1:2" x14ac:dyDescent="0.25">
      <c r="A508" s="471" t="s">
        <v>899</v>
      </c>
      <c r="B508" s="507">
        <f>'CDS-B'!$H$14</f>
        <v>0</v>
      </c>
    </row>
    <row r="509" spans="1:2" x14ac:dyDescent="0.25">
      <c r="A509" s="67" t="s">
        <v>1148</v>
      </c>
      <c r="B509" s="508" t="str">
        <f>_xlfn.CONCAT('CDS-H'!$H$40, ";", 'CDS-H'!$H$41, ";", 'CDS-H'!$H$42)</f>
        <v>;;Both FM and IM</v>
      </c>
    </row>
    <row r="510" spans="1:2" x14ac:dyDescent="0.25">
      <c r="A510" s="67" t="s">
        <v>1149</v>
      </c>
      <c r="B510" s="509">
        <f>'CDS-H'!$E$46</f>
        <v>1114376</v>
      </c>
    </row>
    <row r="511" spans="1:2" x14ac:dyDescent="0.25">
      <c r="A511" s="67" t="s">
        <v>1150</v>
      </c>
      <c r="B511" s="509">
        <f>'CDS-H'!$F$46</f>
        <v>30047</v>
      </c>
    </row>
    <row r="512" spans="1:2" x14ac:dyDescent="0.25">
      <c r="A512" s="67" t="s">
        <v>1151</v>
      </c>
      <c r="B512" s="509">
        <f>'CDS-H'!$E$47</f>
        <v>64632</v>
      </c>
    </row>
    <row r="513" spans="1:2" x14ac:dyDescent="0.25">
      <c r="A513" s="67" t="s">
        <v>1152</v>
      </c>
      <c r="B513" s="509">
        <f>'CDS-H'!$F$47</f>
        <v>18638</v>
      </c>
    </row>
    <row r="514" spans="1:2" x14ac:dyDescent="0.25">
      <c r="A514" s="67" t="s">
        <v>1153</v>
      </c>
      <c r="B514" s="509">
        <f>'CDS-H'!$E$48</f>
        <v>43796401</v>
      </c>
    </row>
    <row r="515" spans="1:2" x14ac:dyDescent="0.25">
      <c r="A515" s="67" t="s">
        <v>1154</v>
      </c>
      <c r="B515" s="509">
        <f>'CDS-H'!$F$48</f>
        <v>10046866</v>
      </c>
    </row>
    <row r="516" spans="1:2" x14ac:dyDescent="0.25">
      <c r="A516" s="67" t="s">
        <v>1155</v>
      </c>
      <c r="B516" s="509">
        <f>'CDS-H'!$E$49</f>
        <v>2176139</v>
      </c>
    </row>
    <row r="517" spans="1:2" x14ac:dyDescent="0.25">
      <c r="A517" s="67" t="s">
        <v>1156</v>
      </c>
      <c r="B517" s="509">
        <f>'CDS-H'!$F$49</f>
        <v>2482016</v>
      </c>
    </row>
    <row r="518" spans="1:2" x14ac:dyDescent="0.25">
      <c r="A518" s="67" t="s">
        <v>1157</v>
      </c>
      <c r="B518" s="509">
        <f>'CDS-H'!$E$50</f>
        <v>47151548</v>
      </c>
    </row>
    <row r="519" spans="1:2" x14ac:dyDescent="0.25">
      <c r="A519" s="67" t="s">
        <v>1158</v>
      </c>
      <c r="B519" s="510">
        <f>'CDS-H'!$F$50</f>
        <v>12577567</v>
      </c>
    </row>
    <row r="520" spans="1:2" x14ac:dyDescent="0.25">
      <c r="A520" s="67" t="s">
        <v>1159</v>
      </c>
      <c r="B520" s="67">
        <f>'CDS-H'!$E$52</f>
        <v>2262672</v>
      </c>
    </row>
    <row r="521" spans="1:2" x14ac:dyDescent="0.25">
      <c r="A521" s="67" t="s">
        <v>1160</v>
      </c>
      <c r="B521" s="67">
        <f>'CDS-H'!$F$52</f>
        <v>2470211</v>
      </c>
    </row>
    <row r="522" spans="1:2" x14ac:dyDescent="0.25">
      <c r="A522" s="67" t="s">
        <v>1161</v>
      </c>
      <c r="B522" s="67">
        <f>'CDS-H'!$E$53</f>
        <v>185077</v>
      </c>
    </row>
    <row r="523" spans="1:2" x14ac:dyDescent="0.25">
      <c r="A523" s="67" t="s">
        <v>1162</v>
      </c>
      <c r="B523" s="67">
        <f>'CDS-H'!$E$54</f>
        <v>285266</v>
      </c>
    </row>
    <row r="524" spans="1:2" x14ac:dyDescent="0.25">
      <c r="A524" s="67" t="s">
        <v>1163</v>
      </c>
      <c r="B524" s="67">
        <f>'CDS-H'!$F$54</f>
        <v>0</v>
      </c>
    </row>
    <row r="525" spans="1:2" x14ac:dyDescent="0.25">
      <c r="A525" s="67" t="s">
        <v>1164</v>
      </c>
      <c r="B525" s="67">
        <f>'CDS-H'!$E$55</f>
        <v>2733015</v>
      </c>
    </row>
    <row r="526" spans="1:2" x14ac:dyDescent="0.25">
      <c r="A526" s="67" t="s">
        <v>1165</v>
      </c>
      <c r="B526" s="67">
        <f>'CDS-H'!$F$55</f>
        <v>2470211</v>
      </c>
    </row>
    <row r="527" spans="1:2" x14ac:dyDescent="0.25">
      <c r="A527" s="67" t="s">
        <v>1166</v>
      </c>
      <c r="B527" s="67">
        <f>'CDS-H'!$E$56</f>
        <v>0</v>
      </c>
    </row>
    <row r="528" spans="1:2" x14ac:dyDescent="0.25">
      <c r="A528" s="67" t="s">
        <v>1167</v>
      </c>
      <c r="B528" s="67">
        <f>'CDS-H'!$F$56</f>
        <v>2661505</v>
      </c>
    </row>
    <row r="529" spans="1:2" x14ac:dyDescent="0.25">
      <c r="A529" s="67" t="s">
        <v>1168</v>
      </c>
      <c r="B529" s="67">
        <f>'CDS-H'!$E$57</f>
        <v>1353871</v>
      </c>
    </row>
    <row r="530" spans="1:2" x14ac:dyDescent="0.25">
      <c r="A530" s="67" t="s">
        <v>1169</v>
      </c>
      <c r="B530" s="67">
        <f>'CDS-H'!$F$57</f>
        <v>1287449</v>
      </c>
    </row>
    <row r="531" spans="1:2" x14ac:dyDescent="0.25">
      <c r="A531" s="67" t="s">
        <v>1170</v>
      </c>
      <c r="B531" s="67">
        <f>'CDS-H'!$E$58</f>
        <v>0</v>
      </c>
    </row>
    <row r="532" spans="1:2" x14ac:dyDescent="0.25">
      <c r="A532" s="67" t="s">
        <v>1171</v>
      </c>
      <c r="B532" s="67">
        <f>'CDS-H'!$F$58</f>
        <v>0</v>
      </c>
    </row>
    <row r="533" spans="1:2" x14ac:dyDescent="0.25">
      <c r="A533" s="67" t="s">
        <v>1172</v>
      </c>
      <c r="B533" s="67">
        <f>'CDS-H'!$D$67</f>
        <v>531</v>
      </c>
    </row>
    <row r="534" spans="1:2" x14ac:dyDescent="0.25">
      <c r="A534" s="67" t="s">
        <v>1173</v>
      </c>
      <c r="B534" s="67">
        <f>'CDS-H'!$E$67</f>
        <v>1887</v>
      </c>
    </row>
    <row r="535" spans="1:2" x14ac:dyDescent="0.25">
      <c r="A535" s="67" t="s">
        <v>1174</v>
      </c>
      <c r="B535" s="67" t="str">
        <f>'CDS-H'!$F$67</f>
        <v xml:space="preserve"> </v>
      </c>
    </row>
    <row r="536" spans="1:2" x14ac:dyDescent="0.25">
      <c r="A536" s="67" t="s">
        <v>1175</v>
      </c>
      <c r="B536" s="67">
        <f>'CDS-H'!$D$68</f>
        <v>314</v>
      </c>
    </row>
    <row r="537" spans="1:2" x14ac:dyDescent="0.25">
      <c r="A537" s="67" t="s">
        <v>1176</v>
      </c>
      <c r="B537" s="67">
        <f>'CDS-H'!$E$68</f>
        <v>979</v>
      </c>
    </row>
    <row r="538" spans="1:2" x14ac:dyDescent="0.25">
      <c r="A538" s="67" t="s">
        <v>1177</v>
      </c>
      <c r="B538" s="67" t="str">
        <f>'CDS-H'!$F$68</f>
        <v xml:space="preserve"> </v>
      </c>
    </row>
    <row r="539" spans="1:2" x14ac:dyDescent="0.25">
      <c r="A539" s="474" t="s">
        <v>1178</v>
      </c>
      <c r="B539" s="67">
        <f>'CDS-H'!$D$69</f>
        <v>253</v>
      </c>
    </row>
    <row r="540" spans="1:2" x14ac:dyDescent="0.25">
      <c r="A540" s="474" t="s">
        <v>1179</v>
      </c>
      <c r="B540" s="67">
        <f>'CDS-H'!$E$69</f>
        <v>869</v>
      </c>
    </row>
    <row r="541" spans="1:2" x14ac:dyDescent="0.25">
      <c r="A541" s="474" t="s">
        <v>1180</v>
      </c>
      <c r="B541" s="67" t="str">
        <f>'CDS-H'!$F$69</f>
        <v xml:space="preserve"> </v>
      </c>
    </row>
    <row r="542" spans="1:2" x14ac:dyDescent="0.25">
      <c r="A542" s="474" t="s">
        <v>1181</v>
      </c>
      <c r="B542" s="67">
        <f>'CDS-H'!$D$70</f>
        <v>253</v>
      </c>
    </row>
    <row r="543" spans="1:2" x14ac:dyDescent="0.25">
      <c r="A543" s="474" t="s">
        <v>1182</v>
      </c>
      <c r="B543" s="67">
        <f>'CDS-H'!$E$70</f>
        <v>869</v>
      </c>
    </row>
    <row r="544" spans="1:2" x14ac:dyDescent="0.25">
      <c r="A544" s="474" t="s">
        <v>1183</v>
      </c>
      <c r="B544" s="67" t="str">
        <f>'CDS-H'!$F$70</f>
        <v xml:space="preserve"> </v>
      </c>
    </row>
    <row r="545" spans="1:2" x14ac:dyDescent="0.25">
      <c r="A545" s="474" t="s">
        <v>1184</v>
      </c>
      <c r="B545" s="67">
        <f>'CDS-H'!$D$71</f>
        <v>253</v>
      </c>
    </row>
    <row r="546" spans="1:2" x14ac:dyDescent="0.25">
      <c r="A546" s="474" t="s">
        <v>1185</v>
      </c>
      <c r="B546" s="511">
        <f>'CDS-H'!$E$71</f>
        <v>869</v>
      </c>
    </row>
    <row r="547" spans="1:2" x14ac:dyDescent="0.25">
      <c r="A547" s="474" t="s">
        <v>1186</v>
      </c>
      <c r="B547" s="67" t="str">
        <f>'CDS-H'!$F$71</f>
        <v xml:space="preserve"> </v>
      </c>
    </row>
    <row r="548" spans="1:2" x14ac:dyDescent="0.25">
      <c r="A548" s="474" t="s">
        <v>1187</v>
      </c>
      <c r="B548" s="67">
        <f>'CDS-H'!$D$72</f>
        <v>197</v>
      </c>
    </row>
    <row r="549" spans="1:2" x14ac:dyDescent="0.25">
      <c r="A549" s="474" t="s">
        <v>1188</v>
      </c>
      <c r="B549" s="67">
        <f>'CDS-H'!$E$72</f>
        <v>710</v>
      </c>
    </row>
    <row r="550" spans="1:2" x14ac:dyDescent="0.25">
      <c r="A550" s="474" t="s">
        <v>1189</v>
      </c>
      <c r="B550" s="67" t="str">
        <f>'CDS-H'!$F$72</f>
        <v xml:space="preserve"> </v>
      </c>
    </row>
    <row r="551" spans="1:2" x14ac:dyDescent="0.25">
      <c r="A551" s="474" t="s">
        <v>1190</v>
      </c>
      <c r="B551" s="67">
        <f>'CDS-H'!$D$73</f>
        <v>109</v>
      </c>
    </row>
    <row r="552" spans="1:2" x14ac:dyDescent="0.25">
      <c r="A552" s="474" t="s">
        <v>1191</v>
      </c>
      <c r="B552" s="67">
        <f>'CDS-H'!$E$73</f>
        <v>376</v>
      </c>
    </row>
    <row r="553" spans="1:2" x14ac:dyDescent="0.25">
      <c r="A553" s="474" t="s">
        <v>1192</v>
      </c>
      <c r="B553" s="67">
        <f>'CDS-H'!$F$73</f>
        <v>0</v>
      </c>
    </row>
    <row r="554" spans="1:2" x14ac:dyDescent="0.25">
      <c r="A554" s="474" t="s">
        <v>1193</v>
      </c>
      <c r="B554" s="67">
        <f>'CDS-H'!$D$74</f>
        <v>253</v>
      </c>
    </row>
    <row r="555" spans="1:2" x14ac:dyDescent="0.25">
      <c r="A555" s="474" t="s">
        <v>1194</v>
      </c>
      <c r="B555" s="67">
        <f>'CDS-H'!$E$74</f>
        <v>869</v>
      </c>
    </row>
    <row r="556" spans="1:2" x14ac:dyDescent="0.25">
      <c r="A556" s="474" t="s">
        <v>1195</v>
      </c>
      <c r="B556" s="67" t="str">
        <f>'CDS-H'!$F$74</f>
        <v xml:space="preserve"> </v>
      </c>
    </row>
    <row r="557" spans="1:2" x14ac:dyDescent="0.25">
      <c r="A557" s="474" t="s">
        <v>1196</v>
      </c>
      <c r="B557" s="67">
        <f>'CDS-H'!$D$75</f>
        <v>1</v>
      </c>
    </row>
    <row r="558" spans="1:2" x14ac:dyDescent="0.25">
      <c r="A558" s="474" t="s">
        <v>1197</v>
      </c>
      <c r="B558" s="67">
        <f>'CDS-H'!$E$75</f>
        <v>1</v>
      </c>
    </row>
    <row r="559" spans="1:2" x14ac:dyDescent="0.25">
      <c r="A559" s="474" t="s">
        <v>1198</v>
      </c>
      <c r="B559" s="67" t="str">
        <f>'CDS-H'!$F$75</f>
        <v xml:space="preserve"> </v>
      </c>
    </row>
    <row r="560" spans="1:2" x14ac:dyDescent="0.25">
      <c r="A560" s="474" t="s">
        <v>1199</v>
      </c>
      <c r="B560" s="67">
        <f>'CDS-H'!$D$76</f>
        <v>54708</v>
      </c>
    </row>
    <row r="561" spans="1:2" x14ac:dyDescent="0.25">
      <c r="A561" s="474" t="s">
        <v>1200</v>
      </c>
      <c r="B561" s="67">
        <f>'CDS-H'!$E$76</f>
        <v>53828</v>
      </c>
    </row>
    <row r="562" spans="1:2" x14ac:dyDescent="0.25">
      <c r="A562" s="474" t="s">
        <v>1201</v>
      </c>
      <c r="B562" s="67" t="str">
        <f>'CDS-H'!$F$76</f>
        <v xml:space="preserve"> </v>
      </c>
    </row>
    <row r="563" spans="1:2" x14ac:dyDescent="0.25">
      <c r="A563" s="474" t="s">
        <v>1202</v>
      </c>
      <c r="B563" s="67">
        <f>'CDS-H'!$D$77</f>
        <v>53049</v>
      </c>
    </row>
    <row r="564" spans="1:2" x14ac:dyDescent="0.25">
      <c r="A564" s="474" t="s">
        <v>1203</v>
      </c>
      <c r="B564" s="67">
        <f>'CDS-H'!$E$77</f>
        <v>51701</v>
      </c>
    </row>
    <row r="565" spans="1:2" x14ac:dyDescent="0.25">
      <c r="A565" s="474" t="s">
        <v>1204</v>
      </c>
      <c r="B565" s="67" t="str">
        <f>'CDS-H'!$F$77</f>
        <v xml:space="preserve"> </v>
      </c>
    </row>
    <row r="566" spans="1:2" x14ac:dyDescent="0.25">
      <c r="A566" s="474" t="s">
        <v>1205</v>
      </c>
      <c r="B566" s="67">
        <f>'CDS-H'!$D$78</f>
        <v>2466</v>
      </c>
    </row>
    <row r="567" spans="1:2" x14ac:dyDescent="0.25">
      <c r="A567" s="474" t="s">
        <v>1206</v>
      </c>
      <c r="B567" s="67">
        <f>'CDS-H'!$E$78</f>
        <v>3338</v>
      </c>
    </row>
    <row r="568" spans="1:2" x14ac:dyDescent="0.25">
      <c r="A568" s="474" t="s">
        <v>1207</v>
      </c>
      <c r="B568" s="67" t="str">
        <f>'CDS-H'!$F$78</f>
        <v xml:space="preserve"> </v>
      </c>
    </row>
    <row r="569" spans="1:2" x14ac:dyDescent="0.25">
      <c r="A569" s="474" t="s">
        <v>1208</v>
      </c>
      <c r="B569" s="67">
        <f>'CDS-H'!$D$79</f>
        <v>1743</v>
      </c>
    </row>
    <row r="570" spans="1:2" x14ac:dyDescent="0.25">
      <c r="A570" s="474" t="s">
        <v>1209</v>
      </c>
      <c r="B570" s="67">
        <f>'CDS-H'!$E$79</f>
        <v>2680</v>
      </c>
    </row>
    <row r="571" spans="1:2" x14ac:dyDescent="0.25">
      <c r="A571" s="474" t="s">
        <v>1210</v>
      </c>
      <c r="B571" s="67" t="str">
        <f>'CDS-H'!$F$79</f>
        <v xml:space="preserve"> </v>
      </c>
    </row>
    <row r="572" spans="1:2" x14ac:dyDescent="0.25">
      <c r="A572" s="474" t="s">
        <v>1211</v>
      </c>
      <c r="B572" s="67">
        <f>'CDS-H'!$D$86</f>
        <v>178</v>
      </c>
    </row>
    <row r="573" spans="1:2" x14ac:dyDescent="0.25">
      <c r="A573" s="474" t="s">
        <v>1212</v>
      </c>
      <c r="B573" s="67">
        <f>'CDS-H'!$E$86</f>
        <v>542</v>
      </c>
    </row>
    <row r="574" spans="1:2" x14ac:dyDescent="0.25">
      <c r="A574" s="474" t="s">
        <v>1213</v>
      </c>
      <c r="B574" s="67" t="str">
        <f>'CDS-H'!$F$86</f>
        <v xml:space="preserve"> </v>
      </c>
    </row>
    <row r="575" spans="1:2" x14ac:dyDescent="0.25">
      <c r="A575" s="474" t="s">
        <v>1214</v>
      </c>
      <c r="B575" s="67">
        <f>'CDS-H'!$D$87</f>
        <v>16839</v>
      </c>
    </row>
    <row r="576" spans="1:2" x14ac:dyDescent="0.25">
      <c r="A576" s="474" t="s">
        <v>1215</v>
      </c>
      <c r="B576" s="67">
        <f>'CDS-H'!$E$87</f>
        <v>15854</v>
      </c>
    </row>
    <row r="577" spans="1:2" x14ac:dyDescent="0.25">
      <c r="A577" s="474" t="s">
        <v>1216</v>
      </c>
      <c r="B577" s="67" t="str">
        <f>'CDS-H'!$F$87</f>
        <v xml:space="preserve"> </v>
      </c>
    </row>
    <row r="578" spans="1:2" x14ac:dyDescent="0.25">
      <c r="A578" s="474" t="s">
        <v>1217</v>
      </c>
      <c r="B578" s="67">
        <f>'CDS-H'!$D$88</f>
        <v>0</v>
      </c>
    </row>
    <row r="579" spans="1:2" x14ac:dyDescent="0.25">
      <c r="A579" s="474" t="s">
        <v>1218</v>
      </c>
      <c r="B579" s="67">
        <f>'CDS-H'!$E$88</f>
        <v>0</v>
      </c>
    </row>
    <row r="580" spans="1:2" x14ac:dyDescent="0.25">
      <c r="A580" s="474" t="s">
        <v>1219</v>
      </c>
      <c r="B580" s="67" t="str">
        <f>'CDS-H'!$F$88</f>
        <v xml:space="preserve"> </v>
      </c>
    </row>
    <row r="581" spans="1:2" x14ac:dyDescent="0.25">
      <c r="A581" s="474" t="s">
        <v>1220</v>
      </c>
      <c r="B581" s="67">
        <f>'CDS-H'!$D$89</f>
        <v>0</v>
      </c>
    </row>
    <row r="582" spans="1:2" x14ac:dyDescent="0.25">
      <c r="A582" s="474" t="s">
        <v>1221</v>
      </c>
      <c r="B582" s="67">
        <f>'CDS-H'!$E$89</f>
        <v>0</v>
      </c>
    </row>
    <row r="583" spans="1:2" x14ac:dyDescent="0.25">
      <c r="A583" s="474" t="s">
        <v>1222</v>
      </c>
      <c r="B583" s="67" t="str">
        <f>'CDS-H'!$F$89</f>
        <v xml:space="preserve"> </v>
      </c>
    </row>
    <row r="584" spans="1:2" x14ac:dyDescent="0.25">
      <c r="A584" s="474" t="s">
        <v>1224</v>
      </c>
      <c r="B584" s="67">
        <f>'CDS-H'!$D$110</f>
        <v>170</v>
      </c>
    </row>
    <row r="585" spans="1:2" x14ac:dyDescent="0.25">
      <c r="A585" s="474" t="s">
        <v>1225</v>
      </c>
      <c r="B585" s="497">
        <f>'CDS-H'!$E$110</f>
        <v>0.39</v>
      </c>
    </row>
    <row r="586" spans="1:2" x14ac:dyDescent="0.25">
      <c r="A586" s="474" t="s">
        <v>1226</v>
      </c>
      <c r="B586" s="67">
        <f>'CDS-H'!$F$110</f>
        <v>25146</v>
      </c>
    </row>
    <row r="587" spans="1:2" x14ac:dyDescent="0.25">
      <c r="A587" s="474" t="s">
        <v>1227</v>
      </c>
      <c r="B587" s="67">
        <f>'CDS-H'!$D$111</f>
        <v>145</v>
      </c>
    </row>
    <row r="588" spans="1:2" x14ac:dyDescent="0.25">
      <c r="A588" s="474" t="s">
        <v>1228</v>
      </c>
      <c r="B588" s="497">
        <f>'CDS-H'!$E$111</f>
        <v>0.33</v>
      </c>
    </row>
    <row r="589" spans="1:2" x14ac:dyDescent="0.25">
      <c r="A589" s="474" t="s">
        <v>1229</v>
      </c>
      <c r="B589" s="67">
        <f>'CDS-H'!$F$111</f>
        <v>16092</v>
      </c>
    </row>
    <row r="590" spans="1:2" x14ac:dyDescent="0.25">
      <c r="A590" s="474" t="s">
        <v>1230</v>
      </c>
      <c r="B590" s="67">
        <f>'CDS-H'!$D$112</f>
        <v>92</v>
      </c>
    </row>
    <row r="591" spans="1:2" x14ac:dyDescent="0.25">
      <c r="A591" s="474" t="s">
        <v>1231</v>
      </c>
      <c r="B591" s="497">
        <f>'CDS-H'!$E$112</f>
        <v>0.21</v>
      </c>
    </row>
    <row r="592" spans="1:2" x14ac:dyDescent="0.25">
      <c r="A592" s="474" t="s">
        <v>1232</v>
      </c>
      <c r="B592" s="67">
        <f>'CDS-H'!$F$112</f>
        <v>6244</v>
      </c>
    </row>
    <row r="593" spans="1:2" x14ac:dyDescent="0.25">
      <c r="A593" s="474" t="s">
        <v>1233</v>
      </c>
      <c r="B593" s="67">
        <f>'CDS-H'!$D$113</f>
        <v>0</v>
      </c>
    </row>
    <row r="594" spans="1:2" x14ac:dyDescent="0.25">
      <c r="A594" s="474" t="s">
        <v>1234</v>
      </c>
      <c r="B594" s="497">
        <f>'CDS-H'!$E$113</f>
        <v>0</v>
      </c>
    </row>
    <row r="595" spans="1:2" x14ac:dyDescent="0.25">
      <c r="A595" s="474" t="s">
        <v>1235</v>
      </c>
      <c r="B595" s="67">
        <f>'CDS-H'!$F$113</f>
        <v>0</v>
      </c>
    </row>
    <row r="596" spans="1:2" x14ac:dyDescent="0.25">
      <c r="A596" s="474" t="s">
        <v>1236</v>
      </c>
      <c r="B596" s="67">
        <f>'CDS-H'!$D$114</f>
        <v>25</v>
      </c>
    </row>
    <row r="597" spans="1:2" x14ac:dyDescent="0.25">
      <c r="A597" s="474" t="s">
        <v>1237</v>
      </c>
      <c r="B597" s="497">
        <f>'CDS-H'!$E$114</f>
        <v>0.06</v>
      </c>
    </row>
    <row r="598" spans="1:2" x14ac:dyDescent="0.25">
      <c r="A598" s="474" t="s">
        <v>1238</v>
      </c>
      <c r="B598" s="67">
        <f>'CDS-H'!$F$114</f>
        <v>54675</v>
      </c>
    </row>
    <row r="599" spans="1:2" x14ac:dyDescent="0.25">
      <c r="A599" s="474" t="s">
        <v>1223</v>
      </c>
      <c r="B599" s="68">
        <f>'CDS-H'!$F$103</f>
        <v>439</v>
      </c>
    </row>
    <row r="600" spans="1:2" x14ac:dyDescent="0.25">
      <c r="A600" s="474" t="s">
        <v>1239</v>
      </c>
      <c r="B600" s="67" t="str">
        <f>'CDS-H'!$H$121</f>
        <v>Institutional need-based scholarship or grant aid is available</v>
      </c>
    </row>
    <row r="601" spans="1:2" x14ac:dyDescent="0.25">
      <c r="A601" s="474" t="s">
        <v>1240</v>
      </c>
      <c r="B601" s="68">
        <f>'CDS-H'!$F$125</f>
        <v>145</v>
      </c>
    </row>
    <row r="602" spans="1:2" x14ac:dyDescent="0.25">
      <c r="A602" s="474" t="s">
        <v>1241</v>
      </c>
      <c r="B602" s="67">
        <f>'CDS-H'!$F$127</f>
        <v>64925</v>
      </c>
    </row>
    <row r="603" spans="1:2" x14ac:dyDescent="0.25">
      <c r="A603" s="474" t="s">
        <v>1242</v>
      </c>
      <c r="B603" s="67">
        <f>'CDS-H'!$F$129</f>
        <v>9414102</v>
      </c>
    </row>
    <row r="604" spans="1:2" x14ac:dyDescent="0.25">
      <c r="A604" s="474" t="s">
        <v>1243</v>
      </c>
      <c r="B604" s="67" t="str">
        <f>_xlfn.CONCAT('CDS-H'!$H$133:$H$138)</f>
        <v>Other|</v>
      </c>
    </row>
    <row r="605" spans="1:2" x14ac:dyDescent="0.25">
      <c r="A605" s="474" t="s">
        <v>1244</v>
      </c>
      <c r="B605" s="67" t="str">
        <f>'CDS-H'!$B$138</f>
        <v>CSS/Financial Aid PROFILE (or an Institutional Form)</v>
      </c>
    </row>
    <row r="606" spans="1:2" x14ac:dyDescent="0.25">
      <c r="A606" s="474" t="s">
        <v>1245</v>
      </c>
      <c r="B606" s="508" t="str">
        <f>_xlfn.CONCAT('CDS-H'!$H$144:$H$150)</f>
        <v>FAFSA|CSS/Financial Aid Profile|</v>
      </c>
    </row>
    <row r="607" spans="1:2" x14ac:dyDescent="0.25">
      <c r="A607" s="474" t="s">
        <v>1246</v>
      </c>
      <c r="B607" s="67">
        <f>'CDS-H'!$B$151</f>
        <v>0</v>
      </c>
    </row>
    <row r="608" spans="1:2" x14ac:dyDescent="0.25">
      <c r="A608" s="474" t="s">
        <v>1247</v>
      </c>
      <c r="B608" s="67">
        <f>'CDS-H'!$D$154</f>
        <v>44941</v>
      </c>
    </row>
    <row r="609" spans="1:2" x14ac:dyDescent="0.25">
      <c r="A609" s="474" t="s">
        <v>1248</v>
      </c>
      <c r="B609" s="67">
        <f>'CDS-H'!$D$155</f>
        <v>44941</v>
      </c>
    </row>
    <row r="610" spans="1:2" x14ac:dyDescent="0.25">
      <c r="A610" s="474" t="s">
        <v>1249</v>
      </c>
      <c r="B610" s="67" t="b">
        <f>'CDS-H'!$D$157</f>
        <v>0</v>
      </c>
    </row>
    <row r="611" spans="1:2" x14ac:dyDescent="0.25">
      <c r="A611" s="474" t="s">
        <v>1250</v>
      </c>
      <c r="B611" s="67">
        <f>'CDS-H'!$C$163</f>
        <v>45005</v>
      </c>
    </row>
    <row r="612" spans="1:2" x14ac:dyDescent="0.25">
      <c r="A612" s="474" t="s">
        <v>1251</v>
      </c>
      <c r="B612" s="67" t="str">
        <f>'CDS-H'!$H$166</f>
        <v>No</v>
      </c>
    </row>
    <row r="613" spans="1:2" x14ac:dyDescent="0.25">
      <c r="A613" s="474" t="s">
        <v>1252</v>
      </c>
      <c r="B613" s="512" t="str">
        <f>'CDS-H'!$C$169</f>
        <v xml:space="preserve"> </v>
      </c>
    </row>
    <row r="614" spans="1:2" x14ac:dyDescent="0.25">
      <c r="A614" s="474" t="s">
        <v>1261</v>
      </c>
      <c r="B614" s="513" t="str">
        <f>'CDS-H'!$B$216</f>
        <v>N/A</v>
      </c>
    </row>
    <row r="615" spans="1:2" x14ac:dyDescent="0.25">
      <c r="A615" s="474" t="s">
        <v>1262</v>
      </c>
      <c r="B615" s="67" t="e">
        <f>'CDS-H'!$H$222</f>
        <v>#N/A</v>
      </c>
    </row>
    <row r="616" spans="1:2" x14ac:dyDescent="0.25">
      <c r="A616" s="474" t="s">
        <v>1259</v>
      </c>
      <c r="B616" s="67" t="str">
        <f>_xlfn.CONCAT('CDS-H'!$H$203:$H$213)</f>
        <v>Academics|Art|Music/drama|</v>
      </c>
    </row>
    <row r="617" spans="1:2" x14ac:dyDescent="0.25">
      <c r="A617" s="474" t="s">
        <v>1260</v>
      </c>
      <c r="B617" s="67" t="str">
        <f>_xlfn.CONCAT('CDS-H'!$XFD$203:$XFD$213)</f>
        <v/>
      </c>
    </row>
    <row r="618" spans="1:2" x14ac:dyDescent="0.25">
      <c r="A618" s="474" t="s">
        <v>1253</v>
      </c>
      <c r="B618" s="514">
        <f>'CDS-H'!$D$172</f>
        <v>45047</v>
      </c>
    </row>
    <row r="619" spans="1:2" x14ac:dyDescent="0.25">
      <c r="A619" s="474" t="s">
        <v>1254</v>
      </c>
      <c r="B619" s="515" t="str">
        <f>'CDS-H'!$D$173</f>
        <v xml:space="preserve"> </v>
      </c>
    </row>
    <row r="620" spans="1:2" x14ac:dyDescent="0.25">
      <c r="A620" s="474" t="s">
        <v>1255</v>
      </c>
      <c r="B620" s="67" t="str">
        <f>_xlfn.CONCAT('CDS-H'!$H$179:$H$186)</f>
        <v>Direct Subsidized Stafford Loans|Direct Unsubsidized Stafford Loans|Direct PLUS Loans|College/university loans from institutional funds|</v>
      </c>
    </row>
    <row r="621" spans="1:2" x14ac:dyDescent="0.25">
      <c r="A621" s="474" t="s">
        <v>1256</v>
      </c>
      <c r="B621" s="67" t="str">
        <f>'CDS-H'!$B$187</f>
        <v xml:space="preserve"> </v>
      </c>
    </row>
    <row r="622" spans="1:2" x14ac:dyDescent="0.25">
      <c r="A622" s="474" t="s">
        <v>1258</v>
      </c>
      <c r="B622" s="67">
        <f>'CDS-H'!$B$199</f>
        <v>0</v>
      </c>
    </row>
    <row r="623" spans="1:2" x14ac:dyDescent="0.25">
      <c r="A623" s="474" t="s">
        <v>1257</v>
      </c>
      <c r="B623" s="516" t="str">
        <f>_xlfn.CONCAT('CDS-H'!$H$191:$H$198)</f>
        <v>Federal Pell|FSEOG|State scholarships/grants|Private scholarships|College/university scholarship or grant aid from institutional funds|</v>
      </c>
    </row>
    <row r="624" spans="1:2" x14ac:dyDescent="0.25">
      <c r="A624" s="472" t="s">
        <v>602</v>
      </c>
      <c r="B624" s="517">
        <f>'CDS-A'!$B$48</f>
        <v>0</v>
      </c>
    </row>
    <row r="625" spans="1:2" x14ac:dyDescent="0.25">
      <c r="A625" s="472" t="s">
        <v>1724</v>
      </c>
      <c r="B625" s="517" t="str">
        <f>'CDS-A'!$B$96</f>
        <v>https://www.kenyon.edu/campus-life/diversity-inclusion/odei/</v>
      </c>
    </row>
    <row r="626" spans="1:2" x14ac:dyDescent="0.25">
      <c r="A626" s="472" t="s">
        <v>604</v>
      </c>
      <c r="B626" s="517" t="str">
        <f>'CDS-A'!$D$36</f>
        <v>kenyon.edu</v>
      </c>
    </row>
    <row r="627" spans="1:2" x14ac:dyDescent="0.25">
      <c r="A627" s="472" t="s">
        <v>614</v>
      </c>
      <c r="B627" s="472" t="str">
        <f>'CDS-A'!$D$6</f>
        <v>Associate VP for Institutional Research</v>
      </c>
    </row>
    <row r="628" spans="1:2" x14ac:dyDescent="0.25">
      <c r="A628" s="472" t="s">
        <v>613</v>
      </c>
      <c r="B628" s="472" t="str">
        <f>'CDS-A'!$D$7</f>
        <v>Office of Institutional Research</v>
      </c>
    </row>
    <row r="629" spans="1:2" x14ac:dyDescent="0.25">
      <c r="A629" s="472" t="s">
        <v>609</v>
      </c>
      <c r="B629" s="472" t="str">
        <f>'CDS-A'!$D$11</f>
        <v>USA</v>
      </c>
    </row>
    <row r="630" spans="1:2" x14ac:dyDescent="0.25">
      <c r="A630" s="472" t="s">
        <v>612</v>
      </c>
      <c r="B630" s="472" t="str">
        <f>'CDS-A'!$D$8</f>
        <v>103 College Drive</v>
      </c>
    </row>
    <row r="631" spans="1:2" x14ac:dyDescent="0.25">
      <c r="A631" s="472" t="s">
        <v>611</v>
      </c>
      <c r="B631" s="472" t="str">
        <f>'CDS-A'!$D$9</f>
        <v>Gambier</v>
      </c>
    </row>
    <row r="632" spans="1:2" x14ac:dyDescent="0.25">
      <c r="A632" s="472" t="s">
        <v>610</v>
      </c>
      <c r="B632" s="472" t="str">
        <f>'CDS-A'!$D$10</f>
        <v>Ohio</v>
      </c>
    </row>
    <row r="633" spans="1:2" x14ac:dyDescent="0.25">
      <c r="A633" s="472" t="s">
        <v>608</v>
      </c>
      <c r="B633" s="517">
        <f>'CDS-A'!$D$12</f>
        <v>43022</v>
      </c>
    </row>
    <row r="634" spans="1:2" x14ac:dyDescent="0.25">
      <c r="A634" s="472" t="s">
        <v>607</v>
      </c>
      <c r="B634" s="517" t="str">
        <f>'CDS-A'!$D$17</f>
        <v>ir@kenyon.edu</v>
      </c>
    </row>
    <row r="635" spans="1:2" x14ac:dyDescent="0.25">
      <c r="A635" s="472" t="s">
        <v>606</v>
      </c>
      <c r="B635" s="517" t="e">
        <f>'CDS-A'!$H$20</f>
        <v>#N/A</v>
      </c>
    </row>
    <row r="636" spans="1:2" x14ac:dyDescent="0.25">
      <c r="A636" s="472" t="s">
        <v>605</v>
      </c>
      <c r="B636" s="517" t="str">
        <f>'CDS-A'!$B$23</f>
        <v>https://www.kenyon.edu/offices-and-services/office-of-institutional-research/common-data-sets/</v>
      </c>
    </row>
    <row r="637" spans="1:2" x14ac:dyDescent="0.25">
      <c r="A637" s="471" t="s">
        <v>1739</v>
      </c>
      <c r="B637" s="517" t="str">
        <f>'CDS-A'!$D$37</f>
        <v>740-427-5776</v>
      </c>
    </row>
    <row r="638" spans="1:2" x14ac:dyDescent="0.25">
      <c r="A638" s="471" t="s">
        <v>1918</v>
      </c>
      <c r="B638" s="517" t="str">
        <f>'CDS-A'!$D$39</f>
        <v>Lowell House</v>
      </c>
    </row>
    <row r="639" spans="1:2" x14ac:dyDescent="0.25">
      <c r="A639" s="471" t="s">
        <v>1740</v>
      </c>
      <c r="B639" s="517" t="str">
        <f>'CDS-A'!$D$40</f>
        <v>Gambier</v>
      </c>
    </row>
    <row r="640" spans="1:2" x14ac:dyDescent="0.25">
      <c r="A640" s="471" t="s">
        <v>1741</v>
      </c>
      <c r="B640" s="517" t="str">
        <f>'CDS-A'!$D$41</f>
        <v>Ohio</v>
      </c>
    </row>
    <row r="641" spans="1:2" x14ac:dyDescent="0.25">
      <c r="A641" s="471" t="s">
        <v>1742</v>
      </c>
      <c r="B641" s="517" t="str">
        <f>'CDS-A'!$D$43</f>
        <v>43022-9623</v>
      </c>
    </row>
    <row r="642" spans="1:2" x14ac:dyDescent="0.25">
      <c r="A642" s="471" t="s">
        <v>1743</v>
      </c>
      <c r="B642" s="517" t="str">
        <f>'CDS-A'!$D$42</f>
        <v>USA</v>
      </c>
    </row>
    <row r="643" spans="1:2" x14ac:dyDescent="0.25">
      <c r="A643" s="471" t="s">
        <v>1744</v>
      </c>
      <c r="B643" s="517" t="str">
        <f>'CDS-A'!$D$45</f>
        <v>admissions@kenyon.edu</v>
      </c>
    </row>
    <row r="644" spans="1:2" x14ac:dyDescent="0.25">
      <c r="A644" s="471" t="s">
        <v>601</v>
      </c>
      <c r="B644" s="517" t="str">
        <f>'CDS-A'!$D$54</f>
        <v>Private (nonprofit)</v>
      </c>
    </row>
    <row r="645" spans="1:2" x14ac:dyDescent="0.25">
      <c r="A645" s="471" t="s">
        <v>600</v>
      </c>
      <c r="B645" s="517" t="str">
        <f>'CDS-A'!$D$60</f>
        <v>Coeducational college</v>
      </c>
    </row>
    <row r="646" spans="1:2" x14ac:dyDescent="0.25">
      <c r="A646" s="471" t="s">
        <v>599</v>
      </c>
      <c r="B646" s="517" t="str">
        <f>'CDS-A'!$E$66</f>
        <v>Semester</v>
      </c>
    </row>
    <row r="647" spans="1:2" x14ac:dyDescent="0.25">
      <c r="A647" s="471" t="s">
        <v>598</v>
      </c>
      <c r="B647" s="518" t="str">
        <f>_xlfn.CONCAT('CDS-A'!$H$79, 'CDS-A'!$H$80, 'CDS-A'!$H$81, 'CDS-A'!$H$82, 'CDS-A'!$H$83, 'CDS-A'!$H$84, 'CDS-A'!$H$85, 'CDS-A'!$H$86, 'CDS-A'!$H$87, 'CDS-A'!$H$88, 'CDS-A'!$H$89, 'CDS-A'!$H$90)</f>
        <v xml:space="preserve">     Bachelor's|      </v>
      </c>
    </row>
    <row r="648" spans="1:2" x14ac:dyDescent="0.25">
      <c r="A648" s="471" t="s">
        <v>1745</v>
      </c>
      <c r="B648" s="472" t="str">
        <f>'CDS-A'!$D$4</f>
        <v>Erika</v>
      </c>
    </row>
    <row r="649" spans="1:2" x14ac:dyDescent="0.25">
      <c r="A649" s="471" t="s">
        <v>1746</v>
      </c>
      <c r="B649" s="472" t="str">
        <f>'CDS-A'!$D$5</f>
        <v>Farfan</v>
      </c>
    </row>
    <row r="650" spans="1:2" x14ac:dyDescent="0.25">
      <c r="A650" s="471" t="s">
        <v>1747</v>
      </c>
      <c r="B650" s="519">
        <f>'CDS-A'!$D$13</f>
        <v>740</v>
      </c>
    </row>
    <row r="651" spans="1:2" x14ac:dyDescent="0.25">
      <c r="A651" s="471" t="s">
        <v>1748</v>
      </c>
      <c r="B651" s="519" t="str">
        <f>'CDS-A'!$D$14</f>
        <v>427-5571</v>
      </c>
    </row>
    <row r="652" spans="1:2" x14ac:dyDescent="0.25">
      <c r="A652" s="67" t="s">
        <v>956</v>
      </c>
      <c r="B652" s="67">
        <f>'CDS-I'!$I$25</f>
        <v>4</v>
      </c>
    </row>
    <row r="653" spans="1:2" x14ac:dyDescent="0.25">
      <c r="A653" s="67" t="s">
        <v>957</v>
      </c>
      <c r="B653" s="67">
        <f>'CDS-I'!$J$25</f>
        <v>2</v>
      </c>
    </row>
    <row r="654" spans="1:2" x14ac:dyDescent="0.25">
      <c r="A654" s="67" t="s">
        <v>962</v>
      </c>
      <c r="B654" s="67">
        <f>'CDS-I'!$I$28</f>
        <v>0</v>
      </c>
    </row>
    <row r="655" spans="1:2" x14ac:dyDescent="0.25">
      <c r="A655" s="67" t="s">
        <v>963</v>
      </c>
      <c r="B655" s="67">
        <f>'CDS-I'!$J$28</f>
        <v>0</v>
      </c>
    </row>
    <row r="656" spans="1:2" x14ac:dyDescent="0.25">
      <c r="A656" s="67" t="s">
        <v>964</v>
      </c>
      <c r="B656" s="67" t="str">
        <f>'CDS-I'!$I$29</f>
        <v xml:space="preserve"> </v>
      </c>
    </row>
    <row r="657" spans="1:2" x14ac:dyDescent="0.25">
      <c r="A657" s="67" t="s">
        <v>965</v>
      </c>
      <c r="B657" s="67" t="str">
        <f>'CDS-I'!$J$29</f>
        <v xml:space="preserve"> </v>
      </c>
    </row>
    <row r="658" spans="1:2" x14ac:dyDescent="0.25">
      <c r="A658" s="67" t="s">
        <v>966</v>
      </c>
      <c r="B658" s="67">
        <f>'CDS-I'!$I$30</f>
        <v>0</v>
      </c>
    </row>
    <row r="659" spans="1:2" x14ac:dyDescent="0.25">
      <c r="A659" s="67" t="s">
        <v>967</v>
      </c>
      <c r="B659" s="67">
        <f>'CDS-I'!$J$30</f>
        <v>0</v>
      </c>
    </row>
    <row r="660" spans="1:2" x14ac:dyDescent="0.25">
      <c r="A660" s="67" t="s">
        <v>961</v>
      </c>
      <c r="B660" s="67">
        <f>'CDS-I'!$J$27</f>
        <v>5</v>
      </c>
    </row>
    <row r="661" spans="1:2" x14ac:dyDescent="0.25">
      <c r="A661" s="67" t="s">
        <v>960</v>
      </c>
      <c r="B661" s="67">
        <f>'CDS-I'!$I$27</f>
        <v>5</v>
      </c>
    </row>
    <row r="662" spans="1:2" x14ac:dyDescent="0.25">
      <c r="A662" s="67" t="s">
        <v>948</v>
      </c>
      <c r="B662" s="67">
        <f>'CDS-I'!$I$21</f>
        <v>209</v>
      </c>
    </row>
    <row r="663" spans="1:2" x14ac:dyDescent="0.25">
      <c r="A663" s="67" t="s">
        <v>949</v>
      </c>
      <c r="B663" s="67">
        <f>'CDS-I'!$J$21</f>
        <v>30</v>
      </c>
    </row>
    <row r="664" spans="1:2" x14ac:dyDescent="0.25">
      <c r="A664" s="67" t="s">
        <v>950</v>
      </c>
      <c r="B664" s="67">
        <f>'CDS-I'!$I$22</f>
        <v>45</v>
      </c>
    </row>
    <row r="665" spans="1:2" x14ac:dyDescent="0.25">
      <c r="A665" s="67" t="s">
        <v>951</v>
      </c>
      <c r="B665" s="67">
        <f>'CDS-I'!$J$22</f>
        <v>9</v>
      </c>
    </row>
    <row r="666" spans="1:2" x14ac:dyDescent="0.25">
      <c r="A666" s="67" t="s">
        <v>952</v>
      </c>
      <c r="B666" s="67">
        <f>'CDS-I'!$I$23</f>
        <v>195</v>
      </c>
    </row>
    <row r="667" spans="1:2" x14ac:dyDescent="0.25">
      <c r="A667" s="67" t="s">
        <v>953</v>
      </c>
      <c r="B667" s="67">
        <f>'CDS-I'!$J$23</f>
        <v>17</v>
      </c>
    </row>
    <row r="668" spans="1:2" x14ac:dyDescent="0.25">
      <c r="A668" s="67" t="s">
        <v>954</v>
      </c>
      <c r="B668" s="67">
        <f>'CDS-I'!$I$24</f>
        <v>104</v>
      </c>
    </row>
    <row r="669" spans="1:2" x14ac:dyDescent="0.25">
      <c r="A669" s="67" t="s">
        <v>955</v>
      </c>
      <c r="B669" s="67">
        <f>'CDS-I'!$J$24</f>
        <v>13</v>
      </c>
    </row>
    <row r="670" spans="1:2" x14ac:dyDescent="0.25">
      <c r="A670" s="67" t="s">
        <v>958</v>
      </c>
      <c r="B670" s="67">
        <f>'CDS-I'!$I$26</f>
        <v>204</v>
      </c>
    </row>
    <row r="671" spans="1:2" x14ac:dyDescent="0.25">
      <c r="A671" s="67" t="s">
        <v>959</v>
      </c>
      <c r="B671" s="67">
        <f>'CDS-I'!$J$26</f>
        <v>25</v>
      </c>
    </row>
    <row r="672" spans="1:2" x14ac:dyDescent="0.25">
      <c r="A672" s="67" t="s">
        <v>968</v>
      </c>
      <c r="B672" s="68" t="str">
        <f>'CDS-I'!$G$36</f>
        <v xml:space="preserve"> </v>
      </c>
    </row>
    <row r="673" spans="1:2" x14ac:dyDescent="0.25">
      <c r="A673" s="67" t="s">
        <v>969</v>
      </c>
      <c r="B673" s="67" t="str">
        <f>'CDS-I'!$J$36</f>
        <v xml:space="preserve"> </v>
      </c>
    </row>
    <row r="674" spans="1:2" x14ac:dyDescent="0.25">
      <c r="A674" s="67" t="s">
        <v>970</v>
      </c>
      <c r="B674" s="67" t="str">
        <f>'CDS-I'!$J$37</f>
        <v xml:space="preserve"> </v>
      </c>
    </row>
    <row r="675" spans="1:2" x14ac:dyDescent="0.25">
      <c r="A675" s="67" t="s">
        <v>971</v>
      </c>
      <c r="B675" s="67" t="str">
        <f>'CDS-I'!$D$49</f>
        <v xml:space="preserve"> </v>
      </c>
    </row>
    <row r="676" spans="1:2" x14ac:dyDescent="0.25">
      <c r="A676" s="67" t="s">
        <v>972</v>
      </c>
      <c r="B676" s="67" t="str">
        <f>'CDS-I'!$E$49</f>
        <v xml:space="preserve"> </v>
      </c>
    </row>
    <row r="677" spans="1:2" x14ac:dyDescent="0.25">
      <c r="A677" s="67" t="s">
        <v>973</v>
      </c>
      <c r="B677" s="67" t="str">
        <f>'CDS-I'!$F$49</f>
        <v xml:space="preserve"> </v>
      </c>
    </row>
    <row r="678" spans="1:2" x14ac:dyDescent="0.25">
      <c r="A678" s="67" t="s">
        <v>974</v>
      </c>
      <c r="B678" s="67" t="str">
        <f>'CDS-I'!$G$49</f>
        <v xml:space="preserve"> </v>
      </c>
    </row>
    <row r="679" spans="1:2" x14ac:dyDescent="0.25">
      <c r="A679" s="67" t="s">
        <v>975</v>
      </c>
      <c r="B679" s="67" t="str">
        <f>'CDS-I'!$H$49</f>
        <v xml:space="preserve"> </v>
      </c>
    </row>
    <row r="680" spans="1:2" x14ac:dyDescent="0.25">
      <c r="A680" s="67" t="s">
        <v>976</v>
      </c>
      <c r="B680" s="67" t="str">
        <f>'CDS-I'!$I$49</f>
        <v xml:space="preserve"> </v>
      </c>
    </row>
    <row r="681" spans="1:2" x14ac:dyDescent="0.25">
      <c r="A681" s="67" t="s">
        <v>977</v>
      </c>
      <c r="B681" s="67" t="str">
        <f>'CDS-I'!$J$49</f>
        <v xml:space="preserve"> </v>
      </c>
    </row>
    <row r="682" spans="1:2" x14ac:dyDescent="0.25">
      <c r="A682" s="67" t="s">
        <v>978</v>
      </c>
      <c r="B682" s="67">
        <f>'CDS-I'!$K$49</f>
        <v>0</v>
      </c>
    </row>
    <row r="683" spans="1:2" x14ac:dyDescent="0.25">
      <c r="A683" s="67" t="s">
        <v>979</v>
      </c>
      <c r="B683" s="67" t="str">
        <f>'CDS-I'!$D$52</f>
        <v xml:space="preserve"> </v>
      </c>
    </row>
    <row r="684" spans="1:2" x14ac:dyDescent="0.25">
      <c r="A684" s="67" t="s">
        <v>980</v>
      </c>
      <c r="B684" s="67" t="str">
        <f>'CDS-I'!$E$52</f>
        <v xml:space="preserve"> </v>
      </c>
    </row>
    <row r="685" spans="1:2" x14ac:dyDescent="0.25">
      <c r="A685" s="67" t="s">
        <v>981</v>
      </c>
      <c r="B685" s="67" t="str">
        <f>'CDS-I'!$F$52</f>
        <v xml:space="preserve"> </v>
      </c>
    </row>
    <row r="686" spans="1:2" x14ac:dyDescent="0.25">
      <c r="A686" s="67" t="s">
        <v>982</v>
      </c>
      <c r="B686" s="67" t="str">
        <f>'CDS-I'!$G$52</f>
        <v xml:space="preserve"> </v>
      </c>
    </row>
    <row r="687" spans="1:2" x14ac:dyDescent="0.25">
      <c r="A687" s="67" t="s">
        <v>983</v>
      </c>
      <c r="B687" s="67" t="str">
        <f>'CDS-I'!$H$52</f>
        <v xml:space="preserve"> </v>
      </c>
    </row>
    <row r="688" spans="1:2" x14ac:dyDescent="0.25">
      <c r="A688" s="67" t="s">
        <v>984</v>
      </c>
      <c r="B688" s="67" t="str">
        <f>'CDS-I'!$I$52</f>
        <v xml:space="preserve"> </v>
      </c>
    </row>
    <row r="689" spans="1:2" x14ac:dyDescent="0.25">
      <c r="A689" s="67" t="s">
        <v>986</v>
      </c>
      <c r="B689" s="67" t="str">
        <f>'CDS-I'!$J$52</f>
        <v xml:space="preserve">  </v>
      </c>
    </row>
    <row r="690" spans="1:2" x14ac:dyDescent="0.25">
      <c r="A690" s="67" t="s">
        <v>985</v>
      </c>
      <c r="B690" s="67">
        <f>'CDS-I'!$K$52</f>
        <v>0</v>
      </c>
    </row>
    <row r="691" spans="1:2" x14ac:dyDescent="0.25">
      <c r="A691" s="67" t="s">
        <v>788</v>
      </c>
      <c r="B691" s="506" t="str">
        <f>'CDS-B'!$C$48</f>
        <v xml:space="preserve"> </v>
      </c>
    </row>
    <row r="692" spans="1:2" x14ac:dyDescent="0.25">
      <c r="A692" s="67" t="s">
        <v>789</v>
      </c>
      <c r="B692" s="506" t="str">
        <f>'CDS-B'!$C$49</f>
        <v xml:space="preserve"> </v>
      </c>
    </row>
    <row r="693" spans="1:2" x14ac:dyDescent="0.25">
      <c r="A693" s="67" t="s">
        <v>790</v>
      </c>
      <c r="B693" s="506">
        <f>'CDS-B'!$C$50</f>
        <v>459</v>
      </c>
    </row>
    <row r="694" spans="1:2" x14ac:dyDescent="0.25">
      <c r="A694" s="67" t="s">
        <v>791</v>
      </c>
      <c r="B694" s="506" t="str">
        <f>'CDS-B'!$C$51</f>
        <v xml:space="preserve"> </v>
      </c>
    </row>
    <row r="695" spans="1:2" x14ac:dyDescent="0.25">
      <c r="A695" s="67" t="s">
        <v>792</v>
      </c>
      <c r="B695" s="506" t="str">
        <f>'CDS-B'!$C$52</f>
        <v xml:space="preserve"> </v>
      </c>
    </row>
    <row r="696" spans="1:2" x14ac:dyDescent="0.25">
      <c r="A696" s="67" t="s">
        <v>793</v>
      </c>
      <c r="B696" s="506" t="str">
        <f>'CDS-B'!$C$53</f>
        <v xml:space="preserve"> </v>
      </c>
    </row>
    <row r="697" spans="1:2" x14ac:dyDescent="0.25">
      <c r="A697" s="67" t="s">
        <v>794</v>
      </c>
      <c r="B697" s="506" t="str">
        <f>'CDS-B'!$C$54</f>
        <v xml:space="preserve"> </v>
      </c>
    </row>
    <row r="698" spans="1:2" x14ac:dyDescent="0.25">
      <c r="A698" s="67" t="s">
        <v>795</v>
      </c>
      <c r="B698" s="506" t="str">
        <f>'CDS-B'!$C$55</f>
        <v xml:space="preserve"> </v>
      </c>
    </row>
    <row r="699" spans="1:2" x14ac:dyDescent="0.25">
      <c r="A699" s="67" t="s">
        <v>796</v>
      </c>
      <c r="B699" s="506" t="str">
        <f>'CDS-B'!$C$56</f>
        <v xml:space="preserve"> </v>
      </c>
    </row>
    <row r="700" spans="1:2" x14ac:dyDescent="0.25">
      <c r="A700" s="67" t="s">
        <v>874</v>
      </c>
      <c r="B700" s="520">
        <f>'CDS-B'!$F$103</f>
        <v>0.90700000000000003</v>
      </c>
    </row>
    <row r="701" spans="1:2" x14ac:dyDescent="0.25">
      <c r="A701" s="67" t="s">
        <v>854</v>
      </c>
      <c r="B701" s="506" t="e">
        <f>'CDS-B'!$F$85</f>
        <v>#VALUE!</v>
      </c>
    </row>
    <row r="702" spans="1:2" x14ac:dyDescent="0.25">
      <c r="A702" s="67" t="s">
        <v>1749</v>
      </c>
      <c r="B702" s="506" t="e">
        <f>'CDS-B'!$C$85</f>
        <v>#VALUE!</v>
      </c>
    </row>
    <row r="703" spans="1:2" x14ac:dyDescent="0.25">
      <c r="A703" s="67" t="s">
        <v>1750</v>
      </c>
      <c r="B703" s="506" t="e">
        <f>'CDS-B'!$D$85</f>
        <v>#VALUE!</v>
      </c>
    </row>
    <row r="704" spans="1:2" x14ac:dyDescent="0.25">
      <c r="A704" s="67" t="s">
        <v>1751</v>
      </c>
      <c r="B704" s="506">
        <f>'CDS-B'!$E$73</f>
        <v>1</v>
      </c>
    </row>
    <row r="705" spans="1:2" x14ac:dyDescent="0.25">
      <c r="A705" s="67" t="s">
        <v>800</v>
      </c>
      <c r="B705" s="506">
        <f>'CDS-B'!$F$66</f>
        <v>425</v>
      </c>
    </row>
    <row r="706" spans="1:2" x14ac:dyDescent="0.25">
      <c r="A706" s="67" t="s">
        <v>816</v>
      </c>
      <c r="B706" s="506">
        <f>'CDS-B'!$F$78</f>
        <v>0</v>
      </c>
    </row>
    <row r="707" spans="1:2" x14ac:dyDescent="0.25">
      <c r="A707" s="67" t="s">
        <v>804</v>
      </c>
      <c r="B707" s="506">
        <f>'CDS-B'!$F$67</f>
        <v>0</v>
      </c>
    </row>
    <row r="708" spans="1:2" x14ac:dyDescent="0.25">
      <c r="A708" s="67" t="s">
        <v>820</v>
      </c>
      <c r="B708" s="506">
        <f>'CDS-B'!$F$79</f>
        <v>0</v>
      </c>
    </row>
    <row r="709" spans="1:2" x14ac:dyDescent="0.25">
      <c r="A709" s="67" t="s">
        <v>808</v>
      </c>
      <c r="B709" s="506">
        <f>'CDS-B'!$F$68</f>
        <v>425</v>
      </c>
    </row>
    <row r="710" spans="1:2" x14ac:dyDescent="0.25">
      <c r="A710" s="67" t="s">
        <v>824</v>
      </c>
      <c r="B710" s="506" t="e">
        <f>'CDS-B'!$F$80</f>
        <v>#VALUE!</v>
      </c>
    </row>
    <row r="711" spans="1:2" x14ac:dyDescent="0.25">
      <c r="A711" s="67" t="s">
        <v>812</v>
      </c>
      <c r="B711" s="506">
        <f>'CDS-B'!$F$69</f>
        <v>409</v>
      </c>
    </row>
    <row r="712" spans="1:2" x14ac:dyDescent="0.25">
      <c r="A712" s="67" t="s">
        <v>828</v>
      </c>
      <c r="B712" s="506">
        <f>'CDS-B'!$F$81</f>
        <v>0</v>
      </c>
    </row>
    <row r="713" spans="1:2" x14ac:dyDescent="0.25">
      <c r="A713" s="67" t="s">
        <v>832</v>
      </c>
      <c r="B713" s="506">
        <f>'CDS-B'!$F$70</f>
        <v>15</v>
      </c>
    </row>
    <row r="714" spans="1:2" x14ac:dyDescent="0.25">
      <c r="A714" s="67" t="s">
        <v>845</v>
      </c>
      <c r="B714" s="506">
        <f>'CDS-B'!$F$82</f>
        <v>0</v>
      </c>
    </row>
    <row r="715" spans="1:2" x14ac:dyDescent="0.25">
      <c r="A715" s="67" t="s">
        <v>840</v>
      </c>
      <c r="B715" s="506">
        <f>'CDS-B'!$F$72</f>
        <v>426</v>
      </c>
    </row>
    <row r="716" spans="1:2" x14ac:dyDescent="0.25">
      <c r="A716" s="67" t="s">
        <v>853</v>
      </c>
      <c r="B716" s="506">
        <f>'CDS-B'!$F$84</f>
        <v>0</v>
      </c>
    </row>
    <row r="717" spans="1:2" x14ac:dyDescent="0.25">
      <c r="A717" s="67" t="s">
        <v>849</v>
      </c>
      <c r="B717" s="506">
        <f>'CDS-B'!$F$83</f>
        <v>0</v>
      </c>
    </row>
    <row r="718" spans="1:2" x14ac:dyDescent="0.25">
      <c r="A718" s="67" t="s">
        <v>836</v>
      </c>
      <c r="B718" s="506">
        <f>'CDS-B'!$F$71</f>
        <v>2</v>
      </c>
    </row>
    <row r="719" spans="1:2" x14ac:dyDescent="0.25">
      <c r="A719" s="67" t="s">
        <v>850</v>
      </c>
      <c r="B719" s="506">
        <f>'CDS-B'!$C$84</f>
        <v>0</v>
      </c>
    </row>
    <row r="720" spans="1:2" x14ac:dyDescent="0.25">
      <c r="A720" s="67" t="s">
        <v>837</v>
      </c>
      <c r="B720" s="506">
        <f>'CDS-B'!$C$72</f>
        <v>39</v>
      </c>
    </row>
    <row r="721" spans="1:2" x14ac:dyDescent="0.25">
      <c r="A721" s="67" t="s">
        <v>838</v>
      </c>
      <c r="B721" s="506">
        <f>'CDS-B'!$D$72</f>
        <v>113</v>
      </c>
    </row>
    <row r="722" spans="1:2" x14ac:dyDescent="0.25">
      <c r="A722" s="67" t="s">
        <v>851</v>
      </c>
      <c r="B722" s="506">
        <f>'CDS-B'!$D$84</f>
        <v>0</v>
      </c>
    </row>
    <row r="723" spans="1:2" x14ac:dyDescent="0.25">
      <c r="A723" s="67" t="s">
        <v>852</v>
      </c>
      <c r="B723" s="506">
        <f>'CDS-B'!$E$84</f>
        <v>0</v>
      </c>
    </row>
    <row r="724" spans="1:2" x14ac:dyDescent="0.25">
      <c r="A724" s="67" t="s">
        <v>835</v>
      </c>
      <c r="B724" s="506">
        <f>'CDS-B'!$E$71</f>
        <v>1</v>
      </c>
    </row>
    <row r="725" spans="1:2" x14ac:dyDescent="0.25">
      <c r="A725" s="67" t="s">
        <v>839</v>
      </c>
      <c r="B725" s="506">
        <f>'CDS-B'!$E$72</f>
        <v>274</v>
      </c>
    </row>
    <row r="726" spans="1:2" x14ac:dyDescent="0.25">
      <c r="A726" s="67" t="s">
        <v>848</v>
      </c>
      <c r="B726" s="506" t="str">
        <f>'CDS-B'!$E$83</f>
        <v xml:space="preserve"> </v>
      </c>
    </row>
    <row r="727" spans="1:2" x14ac:dyDescent="0.25">
      <c r="A727" s="67" t="s">
        <v>833</v>
      </c>
      <c r="B727" s="506">
        <f>'CDS-B'!$C$71</f>
        <v>1</v>
      </c>
    </row>
    <row r="728" spans="1:2" x14ac:dyDescent="0.25">
      <c r="A728" s="67" t="s">
        <v>834</v>
      </c>
      <c r="B728" s="506">
        <f>'CDS-B'!$D$71</f>
        <v>0</v>
      </c>
    </row>
    <row r="729" spans="1:2" x14ac:dyDescent="0.25">
      <c r="A729" s="67" t="s">
        <v>847</v>
      </c>
      <c r="B729" s="506" t="str">
        <f>'CDS-B'!$D$83</f>
        <v xml:space="preserve"> </v>
      </c>
    </row>
    <row r="730" spans="1:2" x14ac:dyDescent="0.25">
      <c r="A730" s="67" t="s">
        <v>846</v>
      </c>
      <c r="B730" s="506" t="str">
        <f>'CDS-B'!$C$83</f>
        <v xml:space="preserve"> </v>
      </c>
    </row>
    <row r="731" spans="1:2" x14ac:dyDescent="0.25">
      <c r="A731" s="67" t="s">
        <v>829</v>
      </c>
      <c r="B731" s="506">
        <f>'CDS-B'!$C$70</f>
        <v>2</v>
      </c>
    </row>
    <row r="732" spans="1:2" x14ac:dyDescent="0.25">
      <c r="A732" s="67" t="s">
        <v>842</v>
      </c>
      <c r="B732" s="506" t="str">
        <f>'CDS-B'!$C$82</f>
        <v xml:space="preserve"> </v>
      </c>
    </row>
    <row r="733" spans="1:2" x14ac:dyDescent="0.25">
      <c r="A733" s="67" t="s">
        <v>843</v>
      </c>
      <c r="B733" s="506" t="str">
        <f>'CDS-B'!$D$82</f>
        <v xml:space="preserve"> </v>
      </c>
    </row>
    <row r="734" spans="1:2" x14ac:dyDescent="0.25">
      <c r="A734" s="67" t="s">
        <v>830</v>
      </c>
      <c r="B734" s="506">
        <f>'CDS-B'!$D$70</f>
        <v>2</v>
      </c>
    </row>
    <row r="735" spans="1:2" x14ac:dyDescent="0.25">
      <c r="A735" s="67" t="s">
        <v>831</v>
      </c>
      <c r="B735" s="506">
        <f>'CDS-B'!$E$70</f>
        <v>11</v>
      </c>
    </row>
    <row r="736" spans="1:2" x14ac:dyDescent="0.25">
      <c r="A736" s="67" t="s">
        <v>844</v>
      </c>
      <c r="B736" s="506" t="str">
        <f>'CDS-B'!$E$82</f>
        <v xml:space="preserve"> </v>
      </c>
    </row>
    <row r="737" spans="1:2" x14ac:dyDescent="0.25">
      <c r="A737" s="67" t="s">
        <v>809</v>
      </c>
      <c r="B737" s="506">
        <f>'CDS-B'!$C$69</f>
        <v>36</v>
      </c>
    </row>
    <row r="738" spans="1:2" x14ac:dyDescent="0.25">
      <c r="A738" s="67" t="s">
        <v>825</v>
      </c>
      <c r="B738" s="506" t="str">
        <f>'CDS-B'!$C$81</f>
        <v xml:space="preserve"> </v>
      </c>
    </row>
    <row r="739" spans="1:2" x14ac:dyDescent="0.25">
      <c r="A739" s="67" t="s">
        <v>826</v>
      </c>
      <c r="B739" s="506" t="str">
        <f>'CDS-B'!$D$81</f>
        <v xml:space="preserve"> </v>
      </c>
    </row>
    <row r="740" spans="1:2" x14ac:dyDescent="0.25">
      <c r="A740" s="67" t="s">
        <v>810</v>
      </c>
      <c r="B740" s="506">
        <f>'CDS-B'!$D$69</f>
        <v>111</v>
      </c>
    </row>
    <row r="741" spans="1:2" x14ac:dyDescent="0.25">
      <c r="A741" s="67" t="s">
        <v>811</v>
      </c>
      <c r="B741" s="506">
        <f>'CDS-B'!$E$69</f>
        <v>262</v>
      </c>
    </row>
    <row r="742" spans="1:2" x14ac:dyDescent="0.25">
      <c r="A742" s="67" t="s">
        <v>827</v>
      </c>
      <c r="B742" s="506" t="str">
        <f>'CDS-B'!$E$81</f>
        <v xml:space="preserve"> </v>
      </c>
    </row>
    <row r="743" spans="1:2" x14ac:dyDescent="0.25">
      <c r="A743" s="67" t="s">
        <v>821</v>
      </c>
      <c r="B743" s="506" t="e">
        <f>'CDS-B'!$C$80</f>
        <v>#VALUE!</v>
      </c>
    </row>
    <row r="744" spans="1:2" x14ac:dyDescent="0.25">
      <c r="A744" s="67" t="s">
        <v>805</v>
      </c>
      <c r="B744" s="506">
        <f>'CDS-B'!$C$68</f>
        <v>38</v>
      </c>
    </row>
    <row r="745" spans="1:2" x14ac:dyDescent="0.25">
      <c r="A745" s="67" t="s">
        <v>806</v>
      </c>
      <c r="B745" s="506">
        <f>'CDS-B'!$D$68</f>
        <v>113</v>
      </c>
    </row>
    <row r="746" spans="1:2" x14ac:dyDescent="0.25">
      <c r="A746" s="67" t="s">
        <v>822</v>
      </c>
      <c r="B746" s="506" t="e">
        <f>'CDS-B'!$D$80</f>
        <v>#VALUE!</v>
      </c>
    </row>
    <row r="747" spans="1:2" x14ac:dyDescent="0.25">
      <c r="A747" s="67" t="s">
        <v>823</v>
      </c>
      <c r="B747" s="506" t="e">
        <f>'CDS-B'!$E$80</f>
        <v>#VALUE!</v>
      </c>
    </row>
    <row r="748" spans="1:2" x14ac:dyDescent="0.25">
      <c r="A748" s="67" t="s">
        <v>807</v>
      </c>
      <c r="B748" s="506">
        <f>'CDS-B'!$E$68</f>
        <v>274</v>
      </c>
    </row>
    <row r="749" spans="1:2" x14ac:dyDescent="0.25">
      <c r="A749" s="67" t="s">
        <v>817</v>
      </c>
      <c r="B749" s="506" t="str">
        <f>'CDS-B'!$C$79</f>
        <v xml:space="preserve"> </v>
      </c>
    </row>
    <row r="750" spans="1:2" x14ac:dyDescent="0.25">
      <c r="A750" s="67" t="s">
        <v>801</v>
      </c>
      <c r="B750" s="506">
        <f>'CDS-B'!$C$67</f>
        <v>0</v>
      </c>
    </row>
    <row r="751" spans="1:2" x14ac:dyDescent="0.25">
      <c r="A751" s="67" t="s">
        <v>802</v>
      </c>
      <c r="B751" s="506">
        <f>'CDS-B'!$D$67</f>
        <v>0</v>
      </c>
    </row>
    <row r="752" spans="1:2" x14ac:dyDescent="0.25">
      <c r="A752" s="67" t="s">
        <v>818</v>
      </c>
      <c r="B752" s="506" t="str">
        <f>'CDS-B'!$D$79</f>
        <v xml:space="preserve"> </v>
      </c>
    </row>
    <row r="753" spans="1:2" x14ac:dyDescent="0.25">
      <c r="A753" s="67" t="s">
        <v>819</v>
      </c>
      <c r="B753" s="506" t="str">
        <f>'CDS-B'!$E$79</f>
        <v xml:space="preserve"> </v>
      </c>
    </row>
    <row r="754" spans="1:2" x14ac:dyDescent="0.25">
      <c r="A754" s="67" t="s">
        <v>803</v>
      </c>
      <c r="B754" s="506">
        <f>'CDS-B'!$E$67</f>
        <v>0</v>
      </c>
    </row>
    <row r="755" spans="1:2" x14ac:dyDescent="0.25">
      <c r="A755" s="67" t="s">
        <v>797</v>
      </c>
      <c r="B755" s="506">
        <f>'CDS-B'!$C$66</f>
        <v>38</v>
      </c>
    </row>
    <row r="756" spans="1:2" x14ac:dyDescent="0.25">
      <c r="A756" s="67" t="s">
        <v>813</v>
      </c>
      <c r="B756" s="506" t="str">
        <f>'CDS-B'!$C$78</f>
        <v xml:space="preserve"> </v>
      </c>
    </row>
    <row r="757" spans="1:2" x14ac:dyDescent="0.25">
      <c r="A757" s="67" t="s">
        <v>798</v>
      </c>
      <c r="B757" s="506">
        <f>'CDS-B'!$D$66</f>
        <v>113</v>
      </c>
    </row>
    <row r="758" spans="1:2" x14ac:dyDescent="0.25">
      <c r="A758" s="67" t="s">
        <v>814</v>
      </c>
      <c r="B758" s="506" t="str">
        <f>'CDS-B'!$D$78</f>
        <v xml:space="preserve"> </v>
      </c>
    </row>
    <row r="759" spans="1:2" x14ac:dyDescent="0.25">
      <c r="A759" s="67" t="s">
        <v>815</v>
      </c>
      <c r="B759" s="506" t="str">
        <f>'CDS-B'!$E$78</f>
        <v xml:space="preserve"> </v>
      </c>
    </row>
    <row r="760" spans="1:2" x14ac:dyDescent="0.25">
      <c r="A760" s="67" t="s">
        <v>799</v>
      </c>
      <c r="B760" s="506">
        <f>'CDS-B'!$E$66</f>
        <v>274</v>
      </c>
    </row>
    <row r="761" spans="1:2" x14ac:dyDescent="0.25">
      <c r="A761" s="67" t="s">
        <v>841</v>
      </c>
      <c r="B761" s="506">
        <f>'CDS-B'!$F$73</f>
        <v>1.0023529411764707</v>
      </c>
    </row>
    <row r="762" spans="1:2" x14ac:dyDescent="0.25">
      <c r="A762" s="67" t="s">
        <v>1752</v>
      </c>
      <c r="B762" s="506">
        <f>'CDS-B'!$C$73</f>
        <v>1.0263157894736843</v>
      </c>
    </row>
    <row r="763" spans="1:2" x14ac:dyDescent="0.25">
      <c r="A763" s="67" t="s">
        <v>1753</v>
      </c>
      <c r="B763" s="506">
        <f>'CDS-B'!$D$73</f>
        <v>1</v>
      </c>
    </row>
    <row r="764" spans="1:2" x14ac:dyDescent="0.25">
      <c r="A764" s="67" t="s">
        <v>1754</v>
      </c>
      <c r="B764" s="506" t="e">
        <f>'CDS-B'!$E$85</f>
        <v>#VALUE!</v>
      </c>
    </row>
    <row r="765" spans="1:2" x14ac:dyDescent="0.25">
      <c r="A765" s="67" t="s">
        <v>855</v>
      </c>
      <c r="B765" s="506">
        <f>'CDS-B'!$E$89</f>
        <v>0</v>
      </c>
    </row>
    <row r="766" spans="1:2" x14ac:dyDescent="0.25">
      <c r="A766" s="67" t="s">
        <v>856</v>
      </c>
      <c r="B766" s="506">
        <f>'CDS-B'!$F$89</f>
        <v>0</v>
      </c>
    </row>
    <row r="767" spans="1:2" x14ac:dyDescent="0.25">
      <c r="A767" s="67" t="s">
        <v>875</v>
      </c>
      <c r="B767" s="506">
        <f>'CDS-B'!$F$90</f>
        <v>0</v>
      </c>
    </row>
    <row r="768" spans="1:2" x14ac:dyDescent="0.25">
      <c r="A768" s="67" t="s">
        <v>857</v>
      </c>
      <c r="B768" s="506">
        <f>'CDS-B'!$E$90</f>
        <v>0</v>
      </c>
    </row>
    <row r="769" spans="1:2" x14ac:dyDescent="0.25">
      <c r="A769" s="67" t="s">
        <v>858</v>
      </c>
      <c r="B769" s="506">
        <f>'CDS-B'!$E$91</f>
        <v>0</v>
      </c>
    </row>
    <row r="770" spans="1:2" x14ac:dyDescent="0.25">
      <c r="A770" s="67" t="s">
        <v>859</v>
      </c>
      <c r="B770" s="506">
        <f>'CDS-B'!$F$91</f>
        <v>0</v>
      </c>
    </row>
    <row r="771" spans="1:2" x14ac:dyDescent="0.25">
      <c r="A771" s="67" t="s">
        <v>860</v>
      </c>
      <c r="B771" s="506">
        <f>'CDS-B'!$E$92</f>
        <v>0</v>
      </c>
    </row>
    <row r="772" spans="1:2" x14ac:dyDescent="0.25">
      <c r="A772" s="67" t="s">
        <v>861</v>
      </c>
      <c r="B772" s="506">
        <f>'CDS-B'!$F$92</f>
        <v>0</v>
      </c>
    </row>
    <row r="773" spans="1:2" x14ac:dyDescent="0.25">
      <c r="A773" s="67" t="s">
        <v>862</v>
      </c>
      <c r="B773" s="506">
        <f>'CDS-B'!$E$93</f>
        <v>0</v>
      </c>
    </row>
    <row r="774" spans="1:2" x14ac:dyDescent="0.25">
      <c r="A774" s="67" t="s">
        <v>863</v>
      </c>
      <c r="B774" s="506">
        <f>'CDS-B'!$F$93</f>
        <v>0</v>
      </c>
    </row>
    <row r="775" spans="1:2" x14ac:dyDescent="0.25">
      <c r="A775" s="67" t="s">
        <v>864</v>
      </c>
      <c r="B775" s="506">
        <f>'CDS-B'!$E$94</f>
        <v>0</v>
      </c>
    </row>
    <row r="776" spans="1:2" x14ac:dyDescent="0.25">
      <c r="A776" s="67" t="s">
        <v>865</v>
      </c>
      <c r="B776" s="506">
        <f>'CDS-B'!$F$94</f>
        <v>0</v>
      </c>
    </row>
    <row r="777" spans="1:2" x14ac:dyDescent="0.25">
      <c r="A777" s="67" t="s">
        <v>866</v>
      </c>
      <c r="B777" s="506">
        <f>'CDS-B'!$E$95</f>
        <v>0</v>
      </c>
    </row>
    <row r="778" spans="1:2" x14ac:dyDescent="0.25">
      <c r="A778" s="67" t="s">
        <v>867</v>
      </c>
      <c r="B778" s="506">
        <f>'CDS-B'!$F$95</f>
        <v>0</v>
      </c>
    </row>
    <row r="779" spans="1:2" x14ac:dyDescent="0.25">
      <c r="A779" s="67" t="s">
        <v>868</v>
      </c>
      <c r="B779" s="506">
        <f>'CDS-B'!$E$96</f>
        <v>0</v>
      </c>
    </row>
    <row r="780" spans="1:2" x14ac:dyDescent="0.25">
      <c r="A780" s="67" t="s">
        <v>869</v>
      </c>
      <c r="B780" s="506">
        <f>'CDS-B'!$F$96</f>
        <v>0</v>
      </c>
    </row>
    <row r="781" spans="1:2" x14ac:dyDescent="0.25">
      <c r="A781" s="67" t="s">
        <v>873</v>
      </c>
      <c r="B781" s="506">
        <f>'CDS-B'!$F$98</f>
        <v>0</v>
      </c>
    </row>
    <row r="782" spans="1:2" x14ac:dyDescent="0.25">
      <c r="A782" s="67" t="s">
        <v>872</v>
      </c>
      <c r="B782" s="506">
        <f>'CDS-B'!$E$98</f>
        <v>0</v>
      </c>
    </row>
    <row r="783" spans="1:2" x14ac:dyDescent="0.25">
      <c r="A783" s="67" t="s">
        <v>870</v>
      </c>
      <c r="B783" s="506">
        <f>'CDS-B'!$E$97</f>
        <v>0</v>
      </c>
    </row>
    <row r="784" spans="1:2" x14ac:dyDescent="0.25">
      <c r="A784" s="67" t="s">
        <v>871</v>
      </c>
      <c r="B784" s="506">
        <f>'CDS-B'!$F$97</f>
        <v>0</v>
      </c>
    </row>
    <row r="785" spans="1:2" x14ac:dyDescent="0.25">
      <c r="A785" s="472" t="s">
        <v>1926</v>
      </c>
      <c r="B785" s="517" t="str">
        <f>_xlfn.CONCAT('CDS-C'!$H$151:$H$157)</f>
        <v>AP|Institutional Exam|</v>
      </c>
    </row>
  </sheetData>
  <sheetProtection algorithmName="SHA-512" hashValue="dO2gZNjOOK7L4C+qhwM1HD37hdqww/GrVn2mEK29cNOCYwwm2X1FmrZe9QOx0x77A0pxhFAbmm7sCSkk2TBhaQ==" saltValue="mw59cgySqWAlKuu6xNn3Tg==" spinCount="100000" sheet="1" objects="1" scenarios="1"/>
  <autoFilter ref="A1:B784" xr:uid="{00000000-0009-0000-0000-000000000000}">
    <sortState ref="A2:B782">
      <sortCondition ref="A2:A784"/>
    </sortState>
  </autoFilter>
  <phoneticPr fontId="50" type="noConversion"/>
  <conditionalFormatting sqref="B360:B518">
    <cfRule type="containsText" dxfId="1" priority="2" operator="containsText" text="Bachelor">
      <formula>NOT(ISERROR(SEARCH("Bachelor",B360)))</formula>
    </cfRule>
  </conditionalFormatting>
  <conditionalFormatting sqref="A1:A1048576">
    <cfRule type="duplicateValues" dxfId="0" priority="1"/>
  </conditionalFormatting>
  <dataValidations count="1">
    <dataValidation type="decimal" allowBlank="1" showInputMessage="1" showErrorMessage="1" sqref="B388" xr:uid="{00000000-0002-0000-0000-000000000000}">
      <formula1>0</formula1>
      <formula2>100</formula2>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06"/>
  <sheetViews>
    <sheetView showGridLines="0" showRuler="0" topLeftCell="B39" zoomScale="127" zoomScaleNormal="120" zoomScalePageLayoutView="115" workbookViewId="0">
      <selection activeCell="D44" sqref="D44"/>
    </sheetView>
  </sheetViews>
  <sheetFormatPr defaultColWidth="0" defaultRowHeight="0" customHeight="1" zeroHeight="1" x14ac:dyDescent="0.2"/>
  <cols>
    <col min="1" max="1" width="4.125" style="2" bestFit="1" customWidth="1"/>
    <col min="2" max="2" width="33.125" style="1" customWidth="1"/>
    <col min="3" max="3" width="11.875" style="1" customWidth="1"/>
    <col min="4" max="4" width="41.625" style="1" customWidth="1"/>
    <col min="5" max="5" width="11.5" style="1" hidden="1" customWidth="1"/>
    <col min="6" max="6" width="14.375" style="1" hidden="1" customWidth="1"/>
    <col min="7" max="7" width="17.125" style="1" hidden="1" customWidth="1"/>
    <col min="8" max="11" width="10.875" style="1" hidden="1" customWidth="1"/>
    <col min="12" max="16382" width="10.875" style="1" customWidth="1"/>
    <col min="16383" max="16383" width="9" style="1" customWidth="1"/>
    <col min="16384" max="16384" width="8.875" style="1" customWidth="1"/>
  </cols>
  <sheetData>
    <row r="1" spans="1:4" ht="18" x14ac:dyDescent="0.2">
      <c r="A1" s="559" t="s">
        <v>597</v>
      </c>
      <c r="B1" s="559"/>
      <c r="C1" s="559"/>
      <c r="D1" s="560"/>
    </row>
    <row r="2" spans="1:4" ht="12.75" x14ac:dyDescent="0.2">
      <c r="C2" s="561"/>
      <c r="D2" s="561"/>
    </row>
    <row r="3" spans="1:4" ht="12.75" x14ac:dyDescent="0.2">
      <c r="A3" s="3" t="s">
        <v>596</v>
      </c>
      <c r="B3" s="69" t="s">
        <v>595</v>
      </c>
      <c r="C3" s="5"/>
      <c r="D3" s="5"/>
    </row>
    <row r="4" spans="1:4" ht="15.95" customHeight="1" x14ac:dyDescent="0.2">
      <c r="A4" s="3"/>
      <c r="B4" s="1" t="s">
        <v>594</v>
      </c>
      <c r="C4" s="5"/>
      <c r="D4" s="222" t="s">
        <v>1963</v>
      </c>
    </row>
    <row r="5" spans="1:4" ht="15.95" customHeight="1" x14ac:dyDescent="0.2">
      <c r="A5" s="3"/>
      <c r="B5" s="1" t="s">
        <v>593</v>
      </c>
      <c r="C5" s="5"/>
      <c r="D5" s="222" t="s">
        <v>1964</v>
      </c>
    </row>
    <row r="6" spans="1:4" ht="15.95" customHeight="1" x14ac:dyDescent="0.2">
      <c r="A6" s="3"/>
      <c r="B6" s="1" t="s">
        <v>592</v>
      </c>
      <c r="C6" s="5"/>
      <c r="D6" s="222" t="s">
        <v>1965</v>
      </c>
    </row>
    <row r="7" spans="1:4" ht="15.95" customHeight="1" x14ac:dyDescent="0.2">
      <c r="A7" s="3"/>
      <c r="B7" s="1" t="s">
        <v>591</v>
      </c>
      <c r="C7" s="5"/>
      <c r="D7" s="222" t="s">
        <v>1966</v>
      </c>
    </row>
    <row r="8" spans="1:4" ht="15.95" customHeight="1" x14ac:dyDescent="0.2">
      <c r="A8" s="3"/>
      <c r="B8" s="1" t="s">
        <v>578</v>
      </c>
      <c r="C8" s="5"/>
      <c r="D8" s="222" t="s">
        <v>1967</v>
      </c>
    </row>
    <row r="9" spans="1:4" ht="15.95" customHeight="1" x14ac:dyDescent="0.2">
      <c r="A9" s="3"/>
      <c r="B9" s="1" t="s">
        <v>569</v>
      </c>
      <c r="C9" s="5"/>
      <c r="D9" s="222" t="s">
        <v>1968</v>
      </c>
    </row>
    <row r="10" spans="1:4" ht="15.95" customHeight="1" x14ac:dyDescent="0.2">
      <c r="A10" s="3"/>
      <c r="B10" s="1" t="s">
        <v>568</v>
      </c>
      <c r="C10" s="5"/>
      <c r="D10" s="222" t="s">
        <v>1969</v>
      </c>
    </row>
    <row r="11" spans="1:4" ht="15.95" customHeight="1" x14ac:dyDescent="0.2">
      <c r="A11" s="3"/>
      <c r="B11" s="1" t="s">
        <v>567</v>
      </c>
      <c r="C11" s="5"/>
      <c r="D11" s="222" t="s">
        <v>1970</v>
      </c>
    </row>
    <row r="12" spans="1:4" ht="15.95" customHeight="1" x14ac:dyDescent="0.2">
      <c r="A12" s="3"/>
      <c r="B12" s="1" t="s">
        <v>566</v>
      </c>
      <c r="C12" s="5"/>
      <c r="D12" s="222">
        <v>43022</v>
      </c>
    </row>
    <row r="13" spans="1:4" ht="15.95" customHeight="1" x14ac:dyDescent="0.2">
      <c r="A13" s="3"/>
      <c r="B13" s="1" t="s">
        <v>590</v>
      </c>
      <c r="C13" s="5"/>
      <c r="D13" s="222">
        <v>740</v>
      </c>
    </row>
    <row r="14" spans="1:4" ht="15.95" customHeight="1" x14ac:dyDescent="0.2">
      <c r="A14" s="3"/>
      <c r="B14" s="1" t="s">
        <v>589</v>
      </c>
      <c r="C14" s="5"/>
      <c r="D14" s="222" t="s">
        <v>1971</v>
      </c>
    </row>
    <row r="15" spans="1:4" ht="15.95" customHeight="1" x14ac:dyDescent="0.2">
      <c r="A15" s="3"/>
      <c r="B15" s="1" t="s">
        <v>588</v>
      </c>
      <c r="C15" s="5"/>
      <c r="D15" s="222" t="s">
        <v>603</v>
      </c>
    </row>
    <row r="16" spans="1:4" ht="15.95" customHeight="1" x14ac:dyDescent="0.2">
      <c r="A16" s="3"/>
      <c r="B16" s="1" t="s">
        <v>587</v>
      </c>
      <c r="C16" s="5"/>
      <c r="D16" s="222" t="s">
        <v>603</v>
      </c>
    </row>
    <row r="17" spans="1:8" ht="15.95" customHeight="1" x14ac:dyDescent="0.2">
      <c r="A17" s="3"/>
      <c r="B17" s="1" t="s">
        <v>586</v>
      </c>
      <c r="C17" s="5"/>
      <c r="D17" s="223" t="s">
        <v>1972</v>
      </c>
    </row>
    <row r="18" spans="1:8" ht="12.75" x14ac:dyDescent="0.2">
      <c r="A18" s="3"/>
      <c r="C18" s="5"/>
      <c r="D18" s="156"/>
    </row>
    <row r="19" spans="1:8" ht="12.75" x14ac:dyDescent="0.2">
      <c r="A19" s="3"/>
      <c r="B19" s="562" t="s">
        <v>585</v>
      </c>
      <c r="C19" s="170"/>
      <c r="D19" s="191" t="s">
        <v>1147</v>
      </c>
      <c r="E19" s="48"/>
      <c r="F19" s="48"/>
    </row>
    <row r="20" spans="1:8" ht="23.1" customHeight="1" x14ac:dyDescent="0.2">
      <c r="A20" s="3"/>
      <c r="B20" s="562"/>
      <c r="C20" s="170"/>
      <c r="D20" s="224" t="s">
        <v>1973</v>
      </c>
      <c r="E20" s="48"/>
      <c r="F20" s="48" t="e" cm="1">
        <f t="array" ref="F20">_xlfn.IFS(D20=FALSE, "", D20=TRUE, "No")</f>
        <v>#N/A</v>
      </c>
      <c r="H20" s="1" t="e" cm="1">
        <f t="array" ref="H20">_xlfn.IFS(D20="YES", "Yes", D20="yes", "Yes", D20="Yes", "Yes", D20="NO", "No", D20="no", "No", D20="No", "No")</f>
        <v>#N/A</v>
      </c>
    </row>
    <row r="21" spans="1:8" ht="12.75" x14ac:dyDescent="0.2">
      <c r="A21" s="3"/>
      <c r="B21" s="89"/>
      <c r="C21" s="5"/>
      <c r="D21" s="5"/>
      <c r="E21" s="48"/>
      <c r="F21" s="48"/>
    </row>
    <row r="22" spans="1:8" ht="12.75" x14ac:dyDescent="0.2">
      <c r="A22" s="3"/>
      <c r="B22" s="1" t="s">
        <v>584</v>
      </c>
      <c r="C22" s="5"/>
      <c r="D22" s="5"/>
    </row>
    <row r="23" spans="1:8" ht="21.95" customHeight="1" x14ac:dyDescent="0.2">
      <c r="A23" s="3"/>
      <c r="B23" s="563" t="s">
        <v>1974</v>
      </c>
      <c r="C23" s="564"/>
      <c r="D23" s="565"/>
    </row>
    <row r="24" spans="1:8" ht="29.25" customHeight="1" x14ac:dyDescent="0.2">
      <c r="A24" s="3"/>
      <c r="C24" s="5"/>
      <c r="D24" s="5"/>
    </row>
    <row r="25" spans="1:8" ht="60.95" customHeight="1" x14ac:dyDescent="0.2">
      <c r="A25" s="3" t="s">
        <v>583</v>
      </c>
      <c r="B25" s="561" t="s">
        <v>582</v>
      </c>
      <c r="C25" s="561"/>
      <c r="D25" s="561"/>
    </row>
    <row r="26" spans="1:8" ht="33" customHeight="1" x14ac:dyDescent="0.2">
      <c r="A26" s="3"/>
      <c r="B26" s="556" t="s">
        <v>603</v>
      </c>
      <c r="C26" s="557"/>
      <c r="D26" s="558"/>
    </row>
    <row r="27" spans="1:8" ht="12.75" x14ac:dyDescent="0.2">
      <c r="C27" s="5"/>
      <c r="D27" s="5"/>
    </row>
    <row r="28" spans="1:8" ht="12.75" x14ac:dyDescent="0.2">
      <c r="A28" s="3" t="s">
        <v>581</v>
      </c>
      <c r="B28" s="69" t="s">
        <v>580</v>
      </c>
      <c r="C28" s="57"/>
      <c r="D28" s="155"/>
    </row>
    <row r="29" spans="1:8" ht="15.95" customHeight="1" x14ac:dyDescent="0.2">
      <c r="A29" s="3"/>
      <c r="B29" s="1" t="s">
        <v>579</v>
      </c>
      <c r="C29" s="154"/>
      <c r="D29" s="225" t="s">
        <v>1975</v>
      </c>
    </row>
    <row r="30" spans="1:8" ht="15.95" customHeight="1" x14ac:dyDescent="0.2">
      <c r="A30" s="3"/>
      <c r="B30" s="1" t="s">
        <v>578</v>
      </c>
      <c r="C30" s="154"/>
      <c r="D30" s="225" t="s">
        <v>1976</v>
      </c>
    </row>
    <row r="31" spans="1:8" ht="15.95" customHeight="1" x14ac:dyDescent="0.2">
      <c r="A31" s="3"/>
      <c r="B31" s="37" t="s">
        <v>576</v>
      </c>
      <c r="C31" s="154"/>
      <c r="D31" s="225" t="s">
        <v>1977</v>
      </c>
    </row>
    <row r="32" spans="1:8" ht="15.95" customHeight="1" x14ac:dyDescent="0.2">
      <c r="A32" s="3"/>
      <c r="B32" s="35" t="s">
        <v>577</v>
      </c>
      <c r="C32" s="154"/>
      <c r="D32" s="225"/>
    </row>
    <row r="33" spans="1:4" ht="15.95" customHeight="1" x14ac:dyDescent="0.2">
      <c r="A33" s="3"/>
      <c r="B33" s="35" t="s">
        <v>576</v>
      </c>
      <c r="C33" s="154"/>
      <c r="D33" s="225"/>
    </row>
    <row r="34" spans="1:4" ht="15.95" customHeight="1" x14ac:dyDescent="0.2">
      <c r="A34" s="3"/>
      <c r="B34" s="35" t="s">
        <v>575</v>
      </c>
      <c r="C34" s="154"/>
      <c r="D34" s="225">
        <v>740</v>
      </c>
    </row>
    <row r="35" spans="1:4" ht="15.95" customHeight="1" x14ac:dyDescent="0.2">
      <c r="A35" s="3"/>
      <c r="B35" s="1" t="s">
        <v>574</v>
      </c>
      <c r="C35" s="154"/>
      <c r="D35" s="225" t="s">
        <v>1980</v>
      </c>
    </row>
    <row r="36" spans="1:4" ht="15.95" customHeight="1" x14ac:dyDescent="0.2">
      <c r="A36" s="3"/>
      <c r="B36" s="1" t="s">
        <v>573</v>
      </c>
      <c r="C36" s="153"/>
      <c r="D36" s="223" t="s">
        <v>1978</v>
      </c>
    </row>
    <row r="37" spans="1:4" ht="15.95" customHeight="1" x14ac:dyDescent="0.2">
      <c r="A37" s="3"/>
      <c r="B37" s="1" t="s">
        <v>572</v>
      </c>
      <c r="C37" s="154"/>
      <c r="D37" s="551" t="s">
        <v>1979</v>
      </c>
    </row>
    <row r="38" spans="1:4" ht="15.95" customHeight="1" x14ac:dyDescent="0.2">
      <c r="A38" s="3"/>
      <c r="B38" s="1" t="s">
        <v>571</v>
      </c>
      <c r="C38" s="154"/>
      <c r="D38" s="225"/>
    </row>
    <row r="39" spans="1:4" ht="15.95" customHeight="1" x14ac:dyDescent="0.2">
      <c r="A39" s="3"/>
      <c r="B39" s="1" t="s">
        <v>570</v>
      </c>
      <c r="C39" s="154"/>
      <c r="D39" s="225" t="s">
        <v>1983</v>
      </c>
    </row>
    <row r="40" spans="1:4" ht="15.95" customHeight="1" x14ac:dyDescent="0.2">
      <c r="A40" s="3"/>
      <c r="B40" s="1" t="s">
        <v>569</v>
      </c>
      <c r="C40" s="154"/>
      <c r="D40" s="225" t="s">
        <v>1968</v>
      </c>
    </row>
    <row r="41" spans="1:4" ht="15.95" customHeight="1" x14ac:dyDescent="0.2">
      <c r="A41" s="3"/>
      <c r="B41" s="1" t="s">
        <v>568</v>
      </c>
      <c r="C41" s="154"/>
      <c r="D41" s="225" t="s">
        <v>1969</v>
      </c>
    </row>
    <row r="42" spans="1:4" ht="15.95" customHeight="1" x14ac:dyDescent="0.2">
      <c r="A42" s="3"/>
      <c r="B42" s="1" t="s">
        <v>567</v>
      </c>
      <c r="C42" s="154"/>
      <c r="D42" s="225" t="s">
        <v>1970</v>
      </c>
    </row>
    <row r="43" spans="1:4" ht="15.95" customHeight="1" x14ac:dyDescent="0.2">
      <c r="A43" s="3"/>
      <c r="B43" s="1" t="s">
        <v>566</v>
      </c>
      <c r="C43" s="154"/>
      <c r="D43" s="225" t="s">
        <v>1984</v>
      </c>
    </row>
    <row r="44" spans="1:4" ht="15.95" customHeight="1" x14ac:dyDescent="0.2">
      <c r="A44" s="3"/>
      <c r="B44" s="1" t="s">
        <v>565</v>
      </c>
      <c r="C44" s="154"/>
      <c r="D44" s="225"/>
    </row>
    <row r="45" spans="1:4" ht="15.95" customHeight="1" x14ac:dyDescent="0.2">
      <c r="A45" s="3"/>
      <c r="B45" s="1" t="s">
        <v>564</v>
      </c>
      <c r="C45" s="153"/>
      <c r="D45" s="223" t="s">
        <v>1981</v>
      </c>
    </row>
    <row r="46" spans="1:4" ht="12.75" customHeight="1" x14ac:dyDescent="0.2">
      <c r="A46" s="3"/>
      <c r="C46" s="153"/>
      <c r="D46" s="156"/>
    </row>
    <row r="47" spans="1:4" ht="15.95" customHeight="1" x14ac:dyDescent="0.2">
      <c r="A47" s="3"/>
      <c r="B47" s="561" t="s">
        <v>563</v>
      </c>
      <c r="C47" s="561"/>
      <c r="D47" s="561"/>
    </row>
    <row r="48" spans="1:4" ht="15.95" customHeight="1" x14ac:dyDescent="0.2">
      <c r="A48" s="3"/>
      <c r="B48" s="568"/>
      <c r="C48" s="568"/>
      <c r="D48" s="568"/>
    </row>
    <row r="49" spans="1:5" ht="15.95" customHeight="1" x14ac:dyDescent="0.2">
      <c r="A49" s="3"/>
      <c r="B49" s="569" t="s">
        <v>562</v>
      </c>
      <c r="C49" s="569"/>
      <c r="D49" s="569"/>
    </row>
    <row r="50" spans="1:5" ht="15.95" customHeight="1" x14ac:dyDescent="0.2">
      <c r="A50" s="3"/>
      <c r="B50" s="568"/>
      <c r="C50" s="568"/>
      <c r="D50" s="568"/>
    </row>
    <row r="51" spans="1:5" ht="12.75" x14ac:dyDescent="0.2"/>
    <row r="52" spans="1:5" ht="12.75" x14ac:dyDescent="0.2">
      <c r="A52" s="3" t="s">
        <v>561</v>
      </c>
      <c r="B52" s="570" t="s">
        <v>560</v>
      </c>
      <c r="C52" s="560"/>
      <c r="D52" s="560"/>
    </row>
    <row r="53" spans="1:5" ht="8.1" customHeight="1" x14ac:dyDescent="0.2">
      <c r="A53" s="229"/>
      <c r="B53" s="39"/>
    </row>
    <row r="54" spans="1:5" ht="15.95" customHeight="1" x14ac:dyDescent="0.2">
      <c r="A54" s="540"/>
      <c r="B54" s="51" t="s">
        <v>559</v>
      </c>
      <c r="C54" s="235">
        <v>2</v>
      </c>
      <c r="D54" s="148" t="str" cm="1">
        <f t="array" ref="D54">_xlfn.IFS(C54=1, "Public",C54=2, "Private (nonprofit)", C54=3, "Proprietary")</f>
        <v>Private (nonprofit)</v>
      </c>
    </row>
    <row r="55" spans="1:5" ht="15.95" customHeight="1" x14ac:dyDescent="0.2">
      <c r="A55" s="541"/>
      <c r="B55" s="51" t="s">
        <v>558</v>
      </c>
      <c r="C55" s="194"/>
      <c r="D55" s="148"/>
    </row>
    <row r="56" spans="1:5" ht="15.95" customHeight="1" x14ac:dyDescent="0.2">
      <c r="A56" s="542"/>
      <c r="B56" s="51" t="s">
        <v>557</v>
      </c>
      <c r="C56" s="204"/>
      <c r="D56" s="148"/>
    </row>
    <row r="57" spans="1:5" ht="12.75" x14ac:dyDescent="0.2">
      <c r="A57" s="229"/>
      <c r="B57" s="69"/>
    </row>
    <row r="58" spans="1:5" ht="12.75" x14ac:dyDescent="0.2">
      <c r="A58" s="3" t="s">
        <v>556</v>
      </c>
      <c r="B58" s="69" t="s">
        <v>1264</v>
      </c>
    </row>
    <row r="59" spans="1:5" ht="12.75" x14ac:dyDescent="0.2">
      <c r="A59" s="3"/>
      <c r="B59" s="69"/>
    </row>
    <row r="60" spans="1:5" ht="17.100000000000001" customHeight="1" x14ac:dyDescent="0.2">
      <c r="A60" s="545"/>
      <c r="B60" s="543" t="s">
        <v>555</v>
      </c>
      <c r="C60" s="235">
        <v>1</v>
      </c>
      <c r="D60" s="148" t="str" cm="1">
        <f t="array" ref="D60">_xlfn.IFS(C60=1, "Coeducational college",C60=2, "Men's college", C60=3, "Women's college")</f>
        <v>Coeducational college</v>
      </c>
      <c r="E60" s="148"/>
    </row>
    <row r="61" spans="1:5" ht="17.100000000000001" customHeight="1" x14ac:dyDescent="0.2">
      <c r="A61" s="545"/>
      <c r="B61" s="543" t="s">
        <v>554</v>
      </c>
      <c r="C61" s="194"/>
      <c r="D61" s="204"/>
      <c r="E61" s="148"/>
    </row>
    <row r="62" spans="1:5" ht="17.100000000000001" customHeight="1" x14ac:dyDescent="0.2">
      <c r="A62" s="545"/>
      <c r="B62" s="543" t="s">
        <v>553</v>
      </c>
      <c r="C62" s="194"/>
      <c r="D62" s="204"/>
      <c r="E62" s="148"/>
    </row>
    <row r="63" spans="1:5" ht="24" customHeight="1" x14ac:dyDescent="0.2">
      <c r="A63" s="229"/>
      <c r="B63" s="230"/>
      <c r="C63" s="204"/>
      <c r="D63" s="204"/>
      <c r="E63" s="148"/>
    </row>
    <row r="64" spans="1:5" ht="12.75" x14ac:dyDescent="0.2">
      <c r="A64" s="3" t="s">
        <v>552</v>
      </c>
      <c r="B64" s="69" t="s">
        <v>1265</v>
      </c>
      <c r="C64" s="232"/>
      <c r="D64" s="204"/>
      <c r="E64" s="148"/>
    </row>
    <row r="65" spans="1:8" ht="12.75" x14ac:dyDescent="0.2">
      <c r="A65" s="3"/>
      <c r="B65" s="69"/>
      <c r="C65" s="232"/>
      <c r="D65" s="204"/>
      <c r="E65" s="148"/>
    </row>
    <row r="66" spans="1:8" ht="15.95" customHeight="1" x14ac:dyDescent="0.2">
      <c r="A66" s="545"/>
      <c r="B66" s="543" t="s">
        <v>551</v>
      </c>
      <c r="C66" s="236">
        <v>1</v>
      </c>
      <c r="D66" s="571"/>
      <c r="E66" s="148" t="str" cm="1">
        <f t="array" ref="E66">_xlfn.IFS(C66=1, "Semester",C66=2, "Quarter", C66=3, "Trimester", C66=4, "4-1-4", C66=5, "Continuous", C66=6, "Differs by program", C66=7, "Other")</f>
        <v>Semester</v>
      </c>
    </row>
    <row r="67" spans="1:8" ht="15.95" customHeight="1" x14ac:dyDescent="0.2">
      <c r="A67" s="545"/>
      <c r="B67" s="543" t="s">
        <v>550</v>
      </c>
      <c r="C67" s="233"/>
      <c r="D67" s="571"/>
      <c r="E67" s="148"/>
    </row>
    <row r="68" spans="1:8" ht="15.95" customHeight="1" x14ac:dyDescent="0.2">
      <c r="A68" s="545"/>
      <c r="B68" s="543" t="s">
        <v>549</v>
      </c>
      <c r="C68" s="233"/>
      <c r="D68" s="571"/>
      <c r="E68" s="148"/>
    </row>
    <row r="69" spans="1:8" ht="15.95" customHeight="1" x14ac:dyDescent="0.2">
      <c r="A69" s="545"/>
      <c r="B69" s="544" t="s">
        <v>548</v>
      </c>
      <c r="C69" s="233"/>
      <c r="D69" s="204"/>
      <c r="E69" s="148"/>
    </row>
    <row r="70" spans="1:8" ht="15.95" customHeight="1" x14ac:dyDescent="0.2">
      <c r="A70" s="545"/>
      <c r="B70" s="543" t="s">
        <v>547</v>
      </c>
      <c r="C70" s="233"/>
      <c r="D70" s="204"/>
      <c r="E70" s="148"/>
    </row>
    <row r="71" spans="1:8" ht="15.95" customHeight="1" x14ac:dyDescent="0.2">
      <c r="A71" s="545"/>
      <c r="B71" s="543" t="s">
        <v>546</v>
      </c>
      <c r="C71" s="234"/>
      <c r="D71" s="234"/>
      <c r="E71" s="148"/>
    </row>
    <row r="72" spans="1:8" ht="30" customHeight="1" x14ac:dyDescent="0.2">
      <c r="A72" s="545"/>
      <c r="B72" s="543" t="s">
        <v>545</v>
      </c>
      <c r="C72" s="234"/>
      <c r="D72" s="234"/>
      <c r="E72" s="148"/>
    </row>
    <row r="73" spans="1:8" ht="20.100000000000001" customHeight="1" x14ac:dyDescent="0.2">
      <c r="A73" s="3"/>
      <c r="B73" s="152" t="s">
        <v>544</v>
      </c>
    </row>
    <row r="74" spans="1:8" ht="24" customHeight="1" x14ac:dyDescent="0.2">
      <c r="A74" s="60"/>
      <c r="B74" s="566"/>
      <c r="C74" s="566"/>
      <c r="D74" s="566"/>
    </row>
    <row r="75" spans="1:8" ht="12.75" x14ac:dyDescent="0.2">
      <c r="B75" s="226"/>
      <c r="C75" s="227"/>
      <c r="D75" s="227"/>
    </row>
    <row r="76" spans="1:8" ht="12.75" x14ac:dyDescent="0.2">
      <c r="A76" s="3"/>
      <c r="B76" s="567"/>
      <c r="C76" s="567"/>
      <c r="D76" s="567"/>
    </row>
    <row r="77" spans="1:8" ht="23.1" customHeight="1" x14ac:dyDescent="0.2">
      <c r="A77" s="98" t="s">
        <v>532</v>
      </c>
      <c r="B77" s="69" t="s">
        <v>543</v>
      </c>
    </row>
    <row r="78" spans="1:8" ht="12.75" x14ac:dyDescent="0.2">
      <c r="A78" s="3"/>
      <c r="B78" s="69"/>
    </row>
    <row r="79" spans="1:8" ht="15.95" customHeight="1" x14ac:dyDescent="0.2">
      <c r="A79" s="60"/>
      <c r="B79" s="51" t="s">
        <v>542</v>
      </c>
      <c r="C79" s="231" t="b">
        <v>0</v>
      </c>
      <c r="H79" s="1" t="str" cm="1">
        <f t="array" ref="H79">_xlfn.IFS($C$79= TRUE, "Certificate|",$C$79=FALSE, " ")</f>
        <v xml:space="preserve"> </v>
      </c>
    </row>
    <row r="80" spans="1:8" ht="15.95" customHeight="1" x14ac:dyDescent="0.2">
      <c r="A80" s="60"/>
      <c r="B80" s="51" t="s">
        <v>541</v>
      </c>
      <c r="C80" s="231" t="b">
        <v>0</v>
      </c>
      <c r="H80" s="1" t="str" cm="1">
        <f t="array" ref="H80">_xlfn.IFS($C$80= TRUE, "Diploma|",$C$80=FALSE, " ")</f>
        <v xml:space="preserve"> </v>
      </c>
    </row>
    <row r="81" spans="1:8" ht="15.95" customHeight="1" x14ac:dyDescent="0.2">
      <c r="A81" s="60"/>
      <c r="B81" s="51" t="s">
        <v>308</v>
      </c>
      <c r="C81" s="231" t="b">
        <v>0</v>
      </c>
      <c r="H81" s="1" t="str" cm="1">
        <f t="array" ref="H81">_xlfn.IFS($C$81= TRUE, "Associate|",$C$81=FALSE, " ")</f>
        <v xml:space="preserve"> </v>
      </c>
    </row>
    <row r="82" spans="1:8" ht="15.95" customHeight="1" x14ac:dyDescent="0.2">
      <c r="A82" s="60"/>
      <c r="B82" s="51" t="s">
        <v>540</v>
      </c>
      <c r="C82" s="231" t="b">
        <v>0</v>
      </c>
      <c r="H82" s="1" t="str" cm="1">
        <f t="array" ref="H82">_xlfn.IFS($C$82=TRUE, "Transfer Associate|",$C$82=FALSE, " ")</f>
        <v xml:space="preserve"> </v>
      </c>
    </row>
    <row r="83" spans="1:8" ht="15.95" customHeight="1" x14ac:dyDescent="0.2">
      <c r="A83" s="60"/>
      <c r="B83" s="51" t="s">
        <v>539</v>
      </c>
      <c r="C83" s="231" t="b">
        <v>0</v>
      </c>
      <c r="H83" s="1" t="str" cm="1">
        <f t="array" ref="H83">_xlfn.IFS($C$83=TRUE, "Terminal Associate|",$C$83=FALSE, " ")</f>
        <v xml:space="preserve"> </v>
      </c>
    </row>
    <row r="84" spans="1:8" ht="15.95" customHeight="1" x14ac:dyDescent="0.2">
      <c r="A84" s="60"/>
      <c r="B84" s="51" t="s">
        <v>538</v>
      </c>
      <c r="C84" s="231" t="b">
        <v>1</v>
      </c>
      <c r="H84" s="1" t="str" cm="1">
        <f t="array" ref="H84">_xlfn.IFS($C$84=TRUE, "Bachelor's|",$C$84=FALSE, " ")</f>
        <v>Bachelor's|</v>
      </c>
    </row>
    <row r="85" spans="1:8" ht="15.95" customHeight="1" x14ac:dyDescent="0.2">
      <c r="A85" s="60"/>
      <c r="B85" s="51" t="s">
        <v>537</v>
      </c>
      <c r="C85" s="231" t="b">
        <v>0</v>
      </c>
      <c r="H85" s="1" t="str" cm="1">
        <f t="array" ref="H85">_xlfn.IFS($C$85= TRUE, "Postbachelor's certificate|",$C$85=FALSE, " ")</f>
        <v xml:space="preserve"> </v>
      </c>
    </row>
    <row r="86" spans="1:8" ht="15.95" customHeight="1" x14ac:dyDescent="0.2">
      <c r="A86" s="60"/>
      <c r="B86" s="51" t="s">
        <v>536</v>
      </c>
      <c r="C86" s="231" t="b">
        <v>0</v>
      </c>
      <c r="H86" s="1" t="str" cm="1">
        <f t="array" ref="H86">_xlfn.IFS($C$86= TRUE, "Master's|",$C$86=FALSE, " ")</f>
        <v xml:space="preserve"> </v>
      </c>
    </row>
    <row r="87" spans="1:8" ht="15.95" customHeight="1" x14ac:dyDescent="0.2">
      <c r="A87" s="60"/>
      <c r="B87" s="51" t="s">
        <v>535</v>
      </c>
      <c r="C87" s="231" t="b">
        <v>0</v>
      </c>
      <c r="H87" s="1" t="str" cm="1">
        <f t="array" ref="H87">_xlfn.IFS($C$87= TRUE, "Post-master's certificate|",$C$87=FALSE, " ")</f>
        <v xml:space="preserve"> </v>
      </c>
    </row>
    <row r="88" spans="1:8" ht="15.95" customHeight="1" x14ac:dyDescent="0.2">
      <c r="A88" s="60"/>
      <c r="B88" s="151" t="s">
        <v>534</v>
      </c>
      <c r="C88" s="231" t="b">
        <v>0</v>
      </c>
      <c r="H88" s="1" t="str" cm="1">
        <f t="array" ref="H88">_xlfn.IFS($C$88= TRUE, "Doctoral degree research/scholarship|",$C$88=FALSE, " ")</f>
        <v xml:space="preserve"> </v>
      </c>
    </row>
    <row r="89" spans="1:8" ht="15.95" customHeight="1" x14ac:dyDescent="0.2">
      <c r="A89" s="60"/>
      <c r="B89" s="151" t="s">
        <v>533</v>
      </c>
      <c r="C89" s="231" t="b">
        <v>0</v>
      </c>
      <c r="H89" s="1" t="str" cm="1">
        <f t="array" ref="H89">_xlfn.IFS($C$89= TRUE, "Doctoral degree -- professional practice|",$C$89=FALSE, " ")</f>
        <v xml:space="preserve"> </v>
      </c>
    </row>
    <row r="90" spans="1:8" ht="15.95" customHeight="1" x14ac:dyDescent="0.2">
      <c r="A90" s="60"/>
      <c r="B90" s="51" t="s">
        <v>531</v>
      </c>
      <c r="C90" s="231" t="b">
        <v>0</v>
      </c>
      <c r="H90" s="1" t="str" cm="1">
        <f t="array" ref="H90">_xlfn.IFS($C$90= TRUE, "Doctoral degree -- other|",$C$90=FALSE, " ")</f>
        <v xml:space="preserve"> </v>
      </c>
    </row>
    <row r="91" spans="1:8" ht="12.75" x14ac:dyDescent="0.2">
      <c r="A91" s="465" t="s">
        <v>532</v>
      </c>
      <c r="B91" s="148" t="s">
        <v>531</v>
      </c>
      <c r="C91" s="150"/>
    </row>
    <row r="92" spans="1:8" ht="12.75" x14ac:dyDescent="0.2">
      <c r="A92" s="149"/>
      <c r="B92" s="148"/>
      <c r="C92" s="148"/>
    </row>
    <row r="93" spans="1:8" ht="12.75" x14ac:dyDescent="0.2">
      <c r="A93" s="206" t="s">
        <v>1315</v>
      </c>
      <c r="B93" s="207" t="s">
        <v>1316</v>
      </c>
      <c r="C93" s="148"/>
    </row>
    <row r="94" spans="1:8" ht="32.1" customHeight="1" x14ac:dyDescent="0.2">
      <c r="B94" s="555" t="s">
        <v>1723</v>
      </c>
      <c r="C94" s="555"/>
      <c r="D94" s="555"/>
    </row>
    <row r="95" spans="1:8" ht="8.1" customHeight="1" x14ac:dyDescent="0.2"/>
    <row r="96" spans="1:8" ht="21.95" customHeight="1" x14ac:dyDescent="0.2">
      <c r="B96" s="554" t="s">
        <v>1982</v>
      </c>
      <c r="C96" s="554"/>
      <c r="D96" s="554"/>
    </row>
    <row r="97" spans="1:1" ht="12.75" x14ac:dyDescent="0.2"/>
    <row r="98" spans="1:1" s="226" customFormat="1" ht="12.75" x14ac:dyDescent="0.2">
      <c r="A98" s="237"/>
    </row>
    <row r="99" spans="1:1" s="226" customFormat="1" ht="12.75" x14ac:dyDescent="0.2">
      <c r="A99" s="237"/>
    </row>
    <row r="100" spans="1:1" s="226" customFormat="1" ht="12.75" x14ac:dyDescent="0.2">
      <c r="A100" s="237"/>
    </row>
    <row r="101" spans="1:1" s="226" customFormat="1" ht="12.75" x14ac:dyDescent="0.2">
      <c r="A101" s="237"/>
    </row>
    <row r="102" spans="1:1" s="226" customFormat="1" ht="12.75" x14ac:dyDescent="0.2">
      <c r="A102" s="237"/>
    </row>
    <row r="103" spans="1:1" s="226" customFormat="1" ht="12.75" x14ac:dyDescent="0.2">
      <c r="A103" s="237"/>
    </row>
    <row r="104" spans="1:1" s="226" customFormat="1" ht="12.75" x14ac:dyDescent="0.2">
      <c r="A104" s="237"/>
    </row>
    <row r="105" spans="1:1" ht="12.75" x14ac:dyDescent="0.2"/>
    <row r="106" spans="1:1" ht="12.75" x14ac:dyDescent="0.2"/>
  </sheetData>
  <sheetProtection algorithmName="SHA-512" hashValue="TU4Yekb6PIavy3Auk632xC5UlLo67nMtO7HjNid2ak+ZMe968dbGSafaXhqpRz8Pi6gLJU4ESLCTEwVb6QBKaw==" saltValue="VlO+srTMaGqM7FDCb8RKzw==" spinCount="100000" sheet="1" objects="1" scenarios="1"/>
  <mergeCells count="16">
    <mergeCell ref="B96:D96"/>
    <mergeCell ref="B94:D94"/>
    <mergeCell ref="B26:D26"/>
    <mergeCell ref="A1:D1"/>
    <mergeCell ref="C2:D2"/>
    <mergeCell ref="B19:B20"/>
    <mergeCell ref="B23:D23"/>
    <mergeCell ref="B25:D25"/>
    <mergeCell ref="B74:D74"/>
    <mergeCell ref="B76:D76"/>
    <mergeCell ref="B47:D47"/>
    <mergeCell ref="B48:D48"/>
    <mergeCell ref="B49:D49"/>
    <mergeCell ref="B50:D50"/>
    <mergeCell ref="B52:D52"/>
    <mergeCell ref="D66:D68"/>
  </mergeCells>
  <dataValidations count="1">
    <dataValidation type="textLength" operator="lessThanOrEqual" allowBlank="1" showInputMessage="1" showErrorMessage="1" sqref="D20" xr:uid="{00000000-0002-0000-0100-000000000000}">
      <formula1>3</formula1>
    </dataValidation>
  </dataValidations>
  <hyperlinks>
    <hyperlink ref="D45" r:id="rId1" display="admissions@awesome.edu" xr:uid="{00000000-0004-0000-0100-000000000000}"/>
  </hyperlinks>
  <pageMargins left="0.75" right="0.75" top="1" bottom="1" header="0.5" footer="0.5"/>
  <pageSetup scale="75" fitToHeight="2" orientation="portrait" r:id="rId2"/>
  <headerFooter alignWithMargins="0">
    <oddHeader>&amp;LCommon Data Set 2021-2022</oddHeader>
    <oddFooter>&amp;LCDS-A&amp;RPage &amp;P</oddFooter>
  </headerFooter>
  <ignoredErrors>
    <ignoredError sqref="B69" twoDigitTextYear="1"/>
  </ignoredErrors>
  <drawing r:id="rId3"/>
  <legacyDrawing r:id="rId4"/>
  <mc:AlternateContent xmlns:mc="http://schemas.openxmlformats.org/markup-compatibility/2006">
    <mc:Choice Requires="x14">
      <controls>
        <mc:AlternateContent xmlns:mc="http://schemas.openxmlformats.org/markup-compatibility/2006">
          <mc:Choice Requires="x14">
            <control shapeId="13313" r:id="rId5" name="Option Button 1">
              <controlPr locked="0" defaultSize="0" autoFill="0" autoLine="0" autoPict="0">
                <anchor moveWithCells="1">
                  <from>
                    <xdr:col>0</xdr:col>
                    <xdr:colOff>28575</xdr:colOff>
                    <xdr:row>53</xdr:row>
                    <xdr:rowOff>9525</xdr:rowOff>
                  </from>
                  <to>
                    <xdr:col>0</xdr:col>
                    <xdr:colOff>266700</xdr:colOff>
                    <xdr:row>54</xdr:row>
                    <xdr:rowOff>38100</xdr:rowOff>
                  </to>
                </anchor>
              </controlPr>
            </control>
          </mc:Choice>
        </mc:AlternateContent>
        <mc:AlternateContent xmlns:mc="http://schemas.openxmlformats.org/markup-compatibility/2006">
          <mc:Choice Requires="x14">
            <control shapeId="13314" r:id="rId6" name="Option Button 2">
              <controlPr locked="0" defaultSize="0" autoFill="0" autoLine="0" autoPict="0">
                <anchor moveWithCells="1">
                  <from>
                    <xdr:col>0</xdr:col>
                    <xdr:colOff>19050</xdr:colOff>
                    <xdr:row>54</xdr:row>
                    <xdr:rowOff>0</xdr:rowOff>
                  </from>
                  <to>
                    <xdr:col>0</xdr:col>
                    <xdr:colOff>257175</xdr:colOff>
                    <xdr:row>55</xdr:row>
                    <xdr:rowOff>38100</xdr:rowOff>
                  </to>
                </anchor>
              </controlPr>
            </control>
          </mc:Choice>
        </mc:AlternateContent>
        <mc:AlternateContent xmlns:mc="http://schemas.openxmlformats.org/markup-compatibility/2006">
          <mc:Choice Requires="x14">
            <control shapeId="13315" r:id="rId7" name="Option Button 3">
              <controlPr locked="0" defaultSize="0" autoFill="0" autoLine="0" autoPict="0">
                <anchor moveWithCells="1">
                  <from>
                    <xdr:col>0</xdr:col>
                    <xdr:colOff>28575</xdr:colOff>
                    <xdr:row>54</xdr:row>
                    <xdr:rowOff>171450</xdr:rowOff>
                  </from>
                  <to>
                    <xdr:col>0</xdr:col>
                    <xdr:colOff>266700</xdr:colOff>
                    <xdr:row>56</xdr:row>
                    <xdr:rowOff>19050</xdr:rowOff>
                  </to>
                </anchor>
              </controlPr>
            </control>
          </mc:Choice>
        </mc:AlternateContent>
        <mc:AlternateContent xmlns:mc="http://schemas.openxmlformats.org/markup-compatibility/2006">
          <mc:Choice Requires="x14">
            <control shapeId="13321" r:id="rId8" name="Check Box 9">
              <controlPr defaultSize="0" autoFill="0" autoLine="0" autoPict="0">
                <anchor moveWithCells="1" sizeWithCells="1">
                  <from>
                    <xdr:col>0</xdr:col>
                    <xdr:colOff>9525</xdr:colOff>
                    <xdr:row>78</xdr:row>
                    <xdr:rowOff>9525</xdr:rowOff>
                  </from>
                  <to>
                    <xdr:col>0</xdr:col>
                    <xdr:colOff>304800</xdr:colOff>
                    <xdr:row>79</xdr:row>
                    <xdr:rowOff>0</xdr:rowOff>
                  </to>
                </anchor>
              </controlPr>
            </control>
          </mc:Choice>
        </mc:AlternateContent>
        <mc:AlternateContent xmlns:mc="http://schemas.openxmlformats.org/markup-compatibility/2006">
          <mc:Choice Requires="x14">
            <control shapeId="13322" r:id="rId9" name="Check Box 10">
              <controlPr defaultSize="0" autoFill="0" autoLine="0" autoPict="0" altText="_x000a_">
                <anchor moveWithCells="1" sizeWithCells="1">
                  <from>
                    <xdr:col>0</xdr:col>
                    <xdr:colOff>9525</xdr:colOff>
                    <xdr:row>82</xdr:row>
                    <xdr:rowOff>0</xdr:rowOff>
                  </from>
                  <to>
                    <xdr:col>0</xdr:col>
                    <xdr:colOff>304800</xdr:colOff>
                    <xdr:row>83</xdr:row>
                    <xdr:rowOff>0</xdr:rowOff>
                  </to>
                </anchor>
              </controlPr>
            </control>
          </mc:Choice>
        </mc:AlternateContent>
        <mc:AlternateContent xmlns:mc="http://schemas.openxmlformats.org/markup-compatibility/2006">
          <mc:Choice Requires="x14">
            <control shapeId="13323" r:id="rId10" name="Check Box 11">
              <controlPr defaultSize="0" autoFill="0" autoLine="0" autoPict="0">
                <anchor moveWithCells="1" sizeWithCells="1">
                  <from>
                    <xdr:col>0</xdr:col>
                    <xdr:colOff>9525</xdr:colOff>
                    <xdr:row>83</xdr:row>
                    <xdr:rowOff>0</xdr:rowOff>
                  </from>
                  <to>
                    <xdr:col>1</xdr:col>
                    <xdr:colOff>9525</xdr:colOff>
                    <xdr:row>84</xdr:row>
                    <xdr:rowOff>0</xdr:rowOff>
                  </to>
                </anchor>
              </controlPr>
            </control>
          </mc:Choice>
        </mc:AlternateContent>
        <mc:AlternateContent xmlns:mc="http://schemas.openxmlformats.org/markup-compatibility/2006">
          <mc:Choice Requires="x14">
            <control shapeId="13324" r:id="rId11" name="Check Box 12">
              <controlPr defaultSize="0" autoFill="0" autoLine="0" autoPict="0">
                <anchor moveWithCells="1" sizeWithCells="1">
                  <from>
                    <xdr:col>0</xdr:col>
                    <xdr:colOff>9525</xdr:colOff>
                    <xdr:row>84</xdr:row>
                    <xdr:rowOff>9525</xdr:rowOff>
                  </from>
                  <to>
                    <xdr:col>0</xdr:col>
                    <xdr:colOff>314325</xdr:colOff>
                    <xdr:row>84</xdr:row>
                    <xdr:rowOff>190500</xdr:rowOff>
                  </to>
                </anchor>
              </controlPr>
            </control>
          </mc:Choice>
        </mc:AlternateContent>
        <mc:AlternateContent xmlns:mc="http://schemas.openxmlformats.org/markup-compatibility/2006">
          <mc:Choice Requires="x14">
            <control shapeId="13325" r:id="rId12" name="Check Box 13">
              <controlPr defaultSize="0" autoFill="0" autoLine="0" autoPict="0">
                <anchor moveWithCells="1" sizeWithCells="1">
                  <from>
                    <xdr:col>0</xdr:col>
                    <xdr:colOff>9525</xdr:colOff>
                    <xdr:row>85</xdr:row>
                    <xdr:rowOff>0</xdr:rowOff>
                  </from>
                  <to>
                    <xdr:col>0</xdr:col>
                    <xdr:colOff>304800</xdr:colOff>
                    <xdr:row>85</xdr:row>
                    <xdr:rowOff>200025</xdr:rowOff>
                  </to>
                </anchor>
              </controlPr>
            </control>
          </mc:Choice>
        </mc:AlternateContent>
        <mc:AlternateContent xmlns:mc="http://schemas.openxmlformats.org/markup-compatibility/2006">
          <mc:Choice Requires="x14">
            <control shapeId="13326" r:id="rId13" name="Check Box 14">
              <controlPr defaultSize="0" autoFill="0" autoLine="0" autoPict="0">
                <anchor moveWithCells="1" sizeWithCells="1">
                  <from>
                    <xdr:col>0</xdr:col>
                    <xdr:colOff>9525</xdr:colOff>
                    <xdr:row>85</xdr:row>
                    <xdr:rowOff>200025</xdr:rowOff>
                  </from>
                  <to>
                    <xdr:col>0</xdr:col>
                    <xdr:colOff>304800</xdr:colOff>
                    <xdr:row>87</xdr:row>
                    <xdr:rowOff>0</xdr:rowOff>
                  </to>
                </anchor>
              </controlPr>
            </control>
          </mc:Choice>
        </mc:AlternateContent>
        <mc:AlternateContent xmlns:mc="http://schemas.openxmlformats.org/markup-compatibility/2006">
          <mc:Choice Requires="x14">
            <control shapeId="13327" r:id="rId14" name="Check Box 15">
              <controlPr defaultSize="0" autoFill="0" autoLine="0" autoPict="0">
                <anchor moveWithCells="1" sizeWithCells="1">
                  <from>
                    <xdr:col>0</xdr:col>
                    <xdr:colOff>9525</xdr:colOff>
                    <xdr:row>87</xdr:row>
                    <xdr:rowOff>0</xdr:rowOff>
                  </from>
                  <to>
                    <xdr:col>0</xdr:col>
                    <xdr:colOff>314325</xdr:colOff>
                    <xdr:row>88</xdr:row>
                    <xdr:rowOff>0</xdr:rowOff>
                  </to>
                </anchor>
              </controlPr>
            </control>
          </mc:Choice>
        </mc:AlternateContent>
        <mc:AlternateContent xmlns:mc="http://schemas.openxmlformats.org/markup-compatibility/2006">
          <mc:Choice Requires="x14">
            <control shapeId="13328" r:id="rId15" name="Check Box 16">
              <controlPr defaultSize="0" autoFill="0" autoLine="0" autoPict="0">
                <anchor moveWithCells="1" sizeWithCells="1">
                  <from>
                    <xdr:col>0</xdr:col>
                    <xdr:colOff>9525</xdr:colOff>
                    <xdr:row>88</xdr:row>
                    <xdr:rowOff>9525</xdr:rowOff>
                  </from>
                  <to>
                    <xdr:col>0</xdr:col>
                    <xdr:colOff>304800</xdr:colOff>
                    <xdr:row>89</xdr:row>
                    <xdr:rowOff>0</xdr:rowOff>
                  </to>
                </anchor>
              </controlPr>
            </control>
          </mc:Choice>
        </mc:AlternateContent>
        <mc:AlternateContent xmlns:mc="http://schemas.openxmlformats.org/markup-compatibility/2006">
          <mc:Choice Requires="x14">
            <control shapeId="13329" r:id="rId16" name="Check Box 17">
              <controlPr defaultSize="0" autoFill="0" autoLine="0" autoPict="0">
                <anchor moveWithCells="1" sizeWithCells="1">
                  <from>
                    <xdr:col>0</xdr:col>
                    <xdr:colOff>9525</xdr:colOff>
                    <xdr:row>89</xdr:row>
                    <xdr:rowOff>9525</xdr:rowOff>
                  </from>
                  <to>
                    <xdr:col>0</xdr:col>
                    <xdr:colOff>304800</xdr:colOff>
                    <xdr:row>90</xdr:row>
                    <xdr:rowOff>0</xdr:rowOff>
                  </to>
                </anchor>
              </controlPr>
            </control>
          </mc:Choice>
        </mc:AlternateContent>
        <mc:AlternateContent xmlns:mc="http://schemas.openxmlformats.org/markup-compatibility/2006">
          <mc:Choice Requires="x14">
            <control shapeId="13330" r:id="rId17" name="Check Box 18">
              <controlPr defaultSize="0" autoFill="0" autoLine="0" autoPict="0">
                <anchor moveWithCells="1" sizeWithCells="1">
                  <from>
                    <xdr:col>0</xdr:col>
                    <xdr:colOff>9525</xdr:colOff>
                    <xdr:row>79</xdr:row>
                    <xdr:rowOff>9525</xdr:rowOff>
                  </from>
                  <to>
                    <xdr:col>0</xdr:col>
                    <xdr:colOff>314325</xdr:colOff>
                    <xdr:row>80</xdr:row>
                    <xdr:rowOff>0</xdr:rowOff>
                  </to>
                </anchor>
              </controlPr>
            </control>
          </mc:Choice>
        </mc:AlternateContent>
        <mc:AlternateContent xmlns:mc="http://schemas.openxmlformats.org/markup-compatibility/2006">
          <mc:Choice Requires="x14">
            <control shapeId="13331" r:id="rId18" name="Check Box 19">
              <controlPr defaultSize="0" autoFill="0" autoLine="0" autoPict="0">
                <anchor moveWithCells="1" sizeWithCells="1">
                  <from>
                    <xdr:col>0</xdr:col>
                    <xdr:colOff>9525</xdr:colOff>
                    <xdr:row>80</xdr:row>
                    <xdr:rowOff>0</xdr:rowOff>
                  </from>
                  <to>
                    <xdr:col>0</xdr:col>
                    <xdr:colOff>314325</xdr:colOff>
                    <xdr:row>80</xdr:row>
                    <xdr:rowOff>190500</xdr:rowOff>
                  </to>
                </anchor>
              </controlPr>
            </control>
          </mc:Choice>
        </mc:AlternateContent>
        <mc:AlternateContent xmlns:mc="http://schemas.openxmlformats.org/markup-compatibility/2006">
          <mc:Choice Requires="x14">
            <control shapeId="13332" r:id="rId19" name="Check Box 20">
              <controlPr defaultSize="0" autoFill="0" autoLine="0" autoPict="0">
                <anchor moveWithCells="1" sizeWithCells="1">
                  <from>
                    <xdr:col>0</xdr:col>
                    <xdr:colOff>9525</xdr:colOff>
                    <xdr:row>81</xdr:row>
                    <xdr:rowOff>0</xdr:rowOff>
                  </from>
                  <to>
                    <xdr:col>0</xdr:col>
                    <xdr:colOff>304800</xdr:colOff>
                    <xdr:row>82</xdr:row>
                    <xdr:rowOff>0</xdr:rowOff>
                  </to>
                </anchor>
              </controlPr>
            </control>
          </mc:Choice>
        </mc:AlternateContent>
        <mc:AlternateContent xmlns:mc="http://schemas.openxmlformats.org/markup-compatibility/2006">
          <mc:Choice Requires="x14">
            <control shapeId="13345" r:id="rId20" name="Group Box 33">
              <controlPr defaultSize="0" autoFill="0" autoPict="0">
                <anchor moveWithCells="1">
                  <from>
                    <xdr:col>0</xdr:col>
                    <xdr:colOff>9525</xdr:colOff>
                    <xdr:row>58</xdr:row>
                    <xdr:rowOff>114300</xdr:rowOff>
                  </from>
                  <to>
                    <xdr:col>1</xdr:col>
                    <xdr:colOff>85725</xdr:colOff>
                    <xdr:row>62</xdr:row>
                    <xdr:rowOff>66675</xdr:rowOff>
                  </to>
                </anchor>
              </controlPr>
            </control>
          </mc:Choice>
        </mc:AlternateContent>
        <mc:AlternateContent xmlns:mc="http://schemas.openxmlformats.org/markup-compatibility/2006">
          <mc:Choice Requires="x14">
            <control shapeId="13346" r:id="rId21" name="Option Button 34">
              <controlPr defaultSize="0" autoFill="0" autoLine="0" autoPict="0">
                <anchor moveWithCells="1">
                  <from>
                    <xdr:col>0</xdr:col>
                    <xdr:colOff>66675</xdr:colOff>
                    <xdr:row>59</xdr:row>
                    <xdr:rowOff>28575</xdr:rowOff>
                  </from>
                  <to>
                    <xdr:col>1</xdr:col>
                    <xdr:colOff>9525</xdr:colOff>
                    <xdr:row>60</xdr:row>
                    <xdr:rowOff>0</xdr:rowOff>
                  </to>
                </anchor>
              </controlPr>
            </control>
          </mc:Choice>
        </mc:AlternateContent>
        <mc:AlternateContent xmlns:mc="http://schemas.openxmlformats.org/markup-compatibility/2006">
          <mc:Choice Requires="x14">
            <control shapeId="13347" r:id="rId22" name="Option Button 35">
              <controlPr defaultSize="0" autoFill="0" autoLine="0" autoPict="0">
                <anchor moveWithCells="1">
                  <from>
                    <xdr:col>0</xdr:col>
                    <xdr:colOff>47625</xdr:colOff>
                    <xdr:row>60</xdr:row>
                    <xdr:rowOff>0</xdr:rowOff>
                  </from>
                  <to>
                    <xdr:col>1</xdr:col>
                    <xdr:colOff>9525</xdr:colOff>
                    <xdr:row>61</xdr:row>
                    <xdr:rowOff>0</xdr:rowOff>
                  </to>
                </anchor>
              </controlPr>
            </control>
          </mc:Choice>
        </mc:AlternateContent>
        <mc:AlternateContent xmlns:mc="http://schemas.openxmlformats.org/markup-compatibility/2006">
          <mc:Choice Requires="x14">
            <control shapeId="13348" r:id="rId23" name="Option Button 36">
              <controlPr defaultSize="0" autoFill="0" autoLine="0" autoPict="0">
                <anchor moveWithCells="1">
                  <from>
                    <xdr:col>0</xdr:col>
                    <xdr:colOff>47625</xdr:colOff>
                    <xdr:row>60</xdr:row>
                    <xdr:rowOff>219075</xdr:rowOff>
                  </from>
                  <to>
                    <xdr:col>0</xdr:col>
                    <xdr:colOff>304800</xdr:colOff>
                    <xdr:row>62</xdr:row>
                    <xdr:rowOff>0</xdr:rowOff>
                  </to>
                </anchor>
              </controlPr>
            </control>
          </mc:Choice>
        </mc:AlternateContent>
        <mc:AlternateContent xmlns:mc="http://schemas.openxmlformats.org/markup-compatibility/2006">
          <mc:Choice Requires="x14">
            <control shapeId="13349" r:id="rId24" name="Group Box 37">
              <controlPr defaultSize="0" autoFill="0" autoPict="0">
                <anchor moveWithCells="1">
                  <from>
                    <xdr:col>0</xdr:col>
                    <xdr:colOff>0</xdr:colOff>
                    <xdr:row>64</xdr:row>
                    <xdr:rowOff>85725</xdr:rowOff>
                  </from>
                  <to>
                    <xdr:col>1</xdr:col>
                    <xdr:colOff>85725</xdr:colOff>
                    <xdr:row>72</xdr:row>
                    <xdr:rowOff>66675</xdr:rowOff>
                  </to>
                </anchor>
              </controlPr>
            </control>
          </mc:Choice>
        </mc:AlternateContent>
        <mc:AlternateContent xmlns:mc="http://schemas.openxmlformats.org/markup-compatibility/2006">
          <mc:Choice Requires="x14">
            <control shapeId="13350" r:id="rId25" name="Option Button 38">
              <controlPr defaultSize="0" autoFill="0" autoLine="0" autoPict="0">
                <anchor moveWithCells="1">
                  <from>
                    <xdr:col>0</xdr:col>
                    <xdr:colOff>76200</xdr:colOff>
                    <xdr:row>64</xdr:row>
                    <xdr:rowOff>161925</xdr:rowOff>
                  </from>
                  <to>
                    <xdr:col>1</xdr:col>
                    <xdr:colOff>9525</xdr:colOff>
                    <xdr:row>66</xdr:row>
                    <xdr:rowOff>0</xdr:rowOff>
                  </to>
                </anchor>
              </controlPr>
            </control>
          </mc:Choice>
        </mc:AlternateContent>
        <mc:AlternateContent xmlns:mc="http://schemas.openxmlformats.org/markup-compatibility/2006">
          <mc:Choice Requires="x14">
            <control shapeId="13351" r:id="rId26" name="Option Button 39">
              <controlPr defaultSize="0" autoFill="0" autoLine="0" autoPict="0">
                <anchor moveWithCells="1">
                  <from>
                    <xdr:col>0</xdr:col>
                    <xdr:colOff>66675</xdr:colOff>
                    <xdr:row>65</xdr:row>
                    <xdr:rowOff>190500</xdr:rowOff>
                  </from>
                  <to>
                    <xdr:col>0</xdr:col>
                    <xdr:colOff>314325</xdr:colOff>
                    <xdr:row>67</xdr:row>
                    <xdr:rowOff>9525</xdr:rowOff>
                  </to>
                </anchor>
              </controlPr>
            </control>
          </mc:Choice>
        </mc:AlternateContent>
        <mc:AlternateContent xmlns:mc="http://schemas.openxmlformats.org/markup-compatibility/2006">
          <mc:Choice Requires="x14">
            <control shapeId="13352" r:id="rId27" name="Option Button 40">
              <controlPr defaultSize="0" autoFill="0" autoLine="0" autoPict="0">
                <anchor moveWithCells="1">
                  <from>
                    <xdr:col>0</xdr:col>
                    <xdr:colOff>66675</xdr:colOff>
                    <xdr:row>67</xdr:row>
                    <xdr:rowOff>0</xdr:rowOff>
                  </from>
                  <to>
                    <xdr:col>1</xdr:col>
                    <xdr:colOff>9525</xdr:colOff>
                    <xdr:row>68</xdr:row>
                    <xdr:rowOff>0</xdr:rowOff>
                  </to>
                </anchor>
              </controlPr>
            </control>
          </mc:Choice>
        </mc:AlternateContent>
        <mc:AlternateContent xmlns:mc="http://schemas.openxmlformats.org/markup-compatibility/2006">
          <mc:Choice Requires="x14">
            <control shapeId="13353" r:id="rId28" name="Option Button 41">
              <controlPr defaultSize="0" autoFill="0" autoLine="0" autoPict="0">
                <anchor moveWithCells="1">
                  <from>
                    <xdr:col>0</xdr:col>
                    <xdr:colOff>76200</xdr:colOff>
                    <xdr:row>68</xdr:row>
                    <xdr:rowOff>0</xdr:rowOff>
                  </from>
                  <to>
                    <xdr:col>1</xdr:col>
                    <xdr:colOff>28575</xdr:colOff>
                    <xdr:row>69</xdr:row>
                    <xdr:rowOff>0</xdr:rowOff>
                  </to>
                </anchor>
              </controlPr>
            </control>
          </mc:Choice>
        </mc:AlternateContent>
        <mc:AlternateContent xmlns:mc="http://schemas.openxmlformats.org/markup-compatibility/2006">
          <mc:Choice Requires="x14">
            <control shapeId="13354" r:id="rId29" name="Option Button 42">
              <controlPr defaultSize="0" autoFill="0" autoLine="0" autoPict="0">
                <anchor moveWithCells="1">
                  <from>
                    <xdr:col>0</xdr:col>
                    <xdr:colOff>66675</xdr:colOff>
                    <xdr:row>68</xdr:row>
                    <xdr:rowOff>190500</xdr:rowOff>
                  </from>
                  <to>
                    <xdr:col>1</xdr:col>
                    <xdr:colOff>9525</xdr:colOff>
                    <xdr:row>70</xdr:row>
                    <xdr:rowOff>0</xdr:rowOff>
                  </to>
                </anchor>
              </controlPr>
            </control>
          </mc:Choice>
        </mc:AlternateContent>
        <mc:AlternateContent xmlns:mc="http://schemas.openxmlformats.org/markup-compatibility/2006">
          <mc:Choice Requires="x14">
            <control shapeId="13355" r:id="rId30" name="Option Button 43">
              <controlPr defaultSize="0" autoFill="0" autoLine="0" autoPict="0">
                <anchor moveWithCells="1">
                  <from>
                    <xdr:col>0</xdr:col>
                    <xdr:colOff>66675</xdr:colOff>
                    <xdr:row>70</xdr:row>
                    <xdr:rowOff>0</xdr:rowOff>
                  </from>
                  <to>
                    <xdr:col>1</xdr:col>
                    <xdr:colOff>0</xdr:colOff>
                    <xdr:row>71</xdr:row>
                    <xdr:rowOff>0</xdr:rowOff>
                  </to>
                </anchor>
              </controlPr>
            </control>
          </mc:Choice>
        </mc:AlternateContent>
        <mc:AlternateContent xmlns:mc="http://schemas.openxmlformats.org/markup-compatibility/2006">
          <mc:Choice Requires="x14">
            <control shapeId="13356" r:id="rId31" name="Option Button 44">
              <controlPr defaultSize="0" autoFill="0" autoLine="0" autoPict="0">
                <anchor moveWithCells="1">
                  <from>
                    <xdr:col>0</xdr:col>
                    <xdr:colOff>66675</xdr:colOff>
                    <xdr:row>71</xdr:row>
                    <xdr:rowOff>76200</xdr:rowOff>
                  </from>
                  <to>
                    <xdr:col>1</xdr:col>
                    <xdr:colOff>9525</xdr:colOff>
                    <xdr:row>71</xdr:row>
                    <xdr:rowOff>333375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61"/>
  <sheetViews>
    <sheetView showGridLines="0" showRowColHeaders="0" showRuler="0" topLeftCell="A50" zoomScale="90" zoomScaleNormal="90" zoomScalePageLayoutView="130" workbookViewId="0">
      <selection activeCell="M41" sqref="M40:M41"/>
    </sheetView>
  </sheetViews>
  <sheetFormatPr defaultColWidth="5.875" defaultRowHeight="0" customHeight="1" zeroHeight="1" x14ac:dyDescent="0.2"/>
  <cols>
    <col min="1" max="1" width="4.375" style="2" customWidth="1"/>
    <col min="2" max="2" width="27.625" style="1" customWidth="1"/>
    <col min="3" max="3" width="14.125" style="1" customWidth="1"/>
    <col min="4" max="4" width="14.625" style="1" customWidth="1"/>
    <col min="5" max="5" width="14.875" style="1" customWidth="1"/>
    <col min="6" max="6" width="15.375" style="1" customWidth="1"/>
    <col min="7" max="7" width="14.5" style="1" customWidth="1"/>
    <col min="8" max="8" width="15.625" style="1" customWidth="1"/>
    <col min="9" max="16384" width="5.875" style="1"/>
  </cols>
  <sheetData>
    <row r="1" spans="1:8" ht="18" x14ac:dyDescent="0.2">
      <c r="A1" s="559" t="s">
        <v>395</v>
      </c>
      <c r="B1" s="559"/>
      <c r="C1" s="559"/>
      <c r="D1" s="559"/>
      <c r="E1" s="559"/>
      <c r="F1" s="559"/>
      <c r="G1" s="166"/>
      <c r="H1" s="166"/>
    </row>
    <row r="2" spans="1:8" ht="12.75" x14ac:dyDescent="0.2"/>
    <row r="3" spans="1:8" ht="14.25" customHeight="1" x14ac:dyDescent="0.2">
      <c r="A3" s="3" t="s">
        <v>394</v>
      </c>
      <c r="B3" s="570" t="s">
        <v>393</v>
      </c>
      <c r="C3" s="562"/>
      <c r="D3" s="562"/>
      <c r="E3" s="562"/>
      <c r="F3" s="562"/>
      <c r="G3" s="40"/>
    </row>
    <row r="4" spans="1:8" ht="26.25" customHeight="1" x14ac:dyDescent="0.2">
      <c r="A4" s="3"/>
      <c r="B4" s="562" t="s">
        <v>1927</v>
      </c>
      <c r="C4" s="562"/>
      <c r="D4" s="562"/>
      <c r="E4" s="562"/>
      <c r="F4" s="562"/>
      <c r="G4" s="40"/>
    </row>
    <row r="5" spans="1:8" ht="28.5" customHeight="1" x14ac:dyDescent="0.2">
      <c r="A5" s="3"/>
      <c r="B5" s="605" t="s">
        <v>392</v>
      </c>
      <c r="C5" s="605"/>
      <c r="D5" s="605"/>
      <c r="E5" s="605"/>
      <c r="F5" s="605"/>
      <c r="G5" s="196"/>
    </row>
    <row r="6" spans="1:8" ht="12.75" x14ac:dyDescent="0.2">
      <c r="A6" s="3"/>
      <c r="B6" s="606"/>
      <c r="C6" s="608" t="s">
        <v>391</v>
      </c>
      <c r="D6" s="609"/>
      <c r="E6" s="610"/>
      <c r="F6" s="608" t="s">
        <v>390</v>
      </c>
      <c r="G6" s="609"/>
      <c r="H6" s="610"/>
    </row>
    <row r="7" spans="1:8" ht="12.75" x14ac:dyDescent="0.2">
      <c r="A7" s="3"/>
      <c r="B7" s="607"/>
      <c r="C7" s="119" t="s">
        <v>389</v>
      </c>
      <c r="D7" s="208" t="s">
        <v>388</v>
      </c>
      <c r="E7" s="214" t="s">
        <v>1317</v>
      </c>
      <c r="F7" s="119" t="s">
        <v>389</v>
      </c>
      <c r="G7" s="208" t="s">
        <v>388</v>
      </c>
      <c r="H7" s="118" t="s">
        <v>1317</v>
      </c>
    </row>
    <row r="8" spans="1:8" ht="12.75" x14ac:dyDescent="0.2">
      <c r="A8" s="3"/>
      <c r="B8" s="114" t="s">
        <v>387</v>
      </c>
      <c r="C8" s="117"/>
      <c r="D8" s="117"/>
      <c r="E8" s="117"/>
      <c r="F8" s="117"/>
      <c r="G8" s="117"/>
      <c r="H8" s="116"/>
    </row>
    <row r="9" spans="1:8" ht="25.5" x14ac:dyDescent="0.2">
      <c r="A9" s="3"/>
      <c r="B9" s="110" t="s">
        <v>1570</v>
      </c>
      <c r="C9" s="297">
        <v>223</v>
      </c>
      <c r="D9" s="298">
        <v>308</v>
      </c>
      <c r="E9" s="298" t="s">
        <v>603</v>
      </c>
      <c r="F9" s="298" t="s">
        <v>603</v>
      </c>
      <c r="G9" s="298" t="s">
        <v>603</v>
      </c>
      <c r="H9" s="298" t="s">
        <v>603</v>
      </c>
    </row>
    <row r="10" spans="1:8" ht="12.75" x14ac:dyDescent="0.2">
      <c r="A10" s="3"/>
      <c r="B10" s="111" t="s">
        <v>386</v>
      </c>
      <c r="C10" s="298">
        <v>9</v>
      </c>
      <c r="D10" s="298">
        <v>11</v>
      </c>
      <c r="E10" s="298" t="s">
        <v>603</v>
      </c>
      <c r="F10" s="298" t="s">
        <v>603</v>
      </c>
      <c r="G10" s="298" t="s">
        <v>603</v>
      </c>
      <c r="H10" s="298" t="s">
        <v>603</v>
      </c>
    </row>
    <row r="11" spans="1:8" ht="12.75" x14ac:dyDescent="0.2">
      <c r="A11" s="3"/>
      <c r="B11" s="111" t="s">
        <v>380</v>
      </c>
      <c r="C11" s="298">
        <v>592</v>
      </c>
      <c r="D11" s="298">
        <v>734</v>
      </c>
      <c r="E11" s="298" t="s">
        <v>603</v>
      </c>
      <c r="F11" s="298" t="s">
        <v>603</v>
      </c>
      <c r="G11" s="298" t="s">
        <v>603</v>
      </c>
      <c r="H11" s="298" t="s">
        <v>603</v>
      </c>
    </row>
    <row r="12" spans="1:8" ht="12.75" x14ac:dyDescent="0.2">
      <c r="A12" s="3"/>
      <c r="B12" s="108" t="s">
        <v>385</v>
      </c>
      <c r="C12" s="115">
        <f t="shared" ref="C12:H12" si="0">SUM(C9:C11)</f>
        <v>824</v>
      </c>
      <c r="D12" s="115">
        <f t="shared" si="0"/>
        <v>1053</v>
      </c>
      <c r="E12" s="115">
        <f t="shared" si="0"/>
        <v>0</v>
      </c>
      <c r="F12" s="115">
        <f t="shared" si="0"/>
        <v>0</v>
      </c>
      <c r="G12" s="115">
        <f t="shared" si="0"/>
        <v>0</v>
      </c>
      <c r="H12" s="115">
        <f t="shared" si="0"/>
        <v>0</v>
      </c>
    </row>
    <row r="13" spans="1:8" ht="25.5" x14ac:dyDescent="0.2">
      <c r="A13" s="3"/>
      <c r="B13" s="110" t="s">
        <v>384</v>
      </c>
      <c r="C13" s="298"/>
      <c r="D13" s="298" t="s">
        <v>603</v>
      </c>
      <c r="E13" s="298" t="s">
        <v>603</v>
      </c>
      <c r="F13" s="298">
        <v>3</v>
      </c>
      <c r="G13" s="298">
        <v>7</v>
      </c>
      <c r="H13" s="298" t="s">
        <v>603</v>
      </c>
    </row>
    <row r="14" spans="1:8" ht="12.75" x14ac:dyDescent="0.2">
      <c r="A14" s="3"/>
      <c r="B14" s="108" t="s">
        <v>383</v>
      </c>
      <c r="C14" s="115">
        <f t="shared" ref="C14:H14" si="1">SUM(C12:C13)</f>
        <v>824</v>
      </c>
      <c r="D14" s="115">
        <f t="shared" si="1"/>
        <v>1053</v>
      </c>
      <c r="E14" s="115">
        <f t="shared" si="1"/>
        <v>0</v>
      </c>
      <c r="F14" s="115">
        <f t="shared" si="1"/>
        <v>3</v>
      </c>
      <c r="G14" s="115">
        <f t="shared" si="1"/>
        <v>7</v>
      </c>
      <c r="H14" s="115">
        <f t="shared" si="1"/>
        <v>0</v>
      </c>
    </row>
    <row r="15" spans="1:8" ht="12.75" x14ac:dyDescent="0.2">
      <c r="A15" s="3"/>
      <c r="B15" s="114" t="s">
        <v>382</v>
      </c>
      <c r="C15" s="113"/>
      <c r="D15" s="113"/>
      <c r="E15" s="113"/>
      <c r="F15" s="113"/>
      <c r="G15" s="113"/>
      <c r="H15" s="112"/>
    </row>
    <row r="16" spans="1:8" ht="12.75" x14ac:dyDescent="0.2">
      <c r="A16" s="3"/>
      <c r="B16" s="111" t="s">
        <v>381</v>
      </c>
      <c r="C16" s="299" t="s">
        <v>603</v>
      </c>
      <c r="D16" s="299" t="s">
        <v>603</v>
      </c>
      <c r="E16" s="299" t="s">
        <v>603</v>
      </c>
      <c r="F16" s="299" t="s">
        <v>603</v>
      </c>
      <c r="G16" s="299" t="s">
        <v>603</v>
      </c>
      <c r="H16" s="299" t="s">
        <v>603</v>
      </c>
    </row>
    <row r="17" spans="1:8" ht="12.75" x14ac:dyDescent="0.2">
      <c r="A17" s="3"/>
      <c r="B17" s="111" t="s">
        <v>380</v>
      </c>
      <c r="C17" s="299" t="s">
        <v>603</v>
      </c>
      <c r="D17" s="299" t="s">
        <v>603</v>
      </c>
      <c r="E17" s="299" t="s">
        <v>603</v>
      </c>
      <c r="F17" s="299" t="s">
        <v>603</v>
      </c>
      <c r="G17" s="299" t="s">
        <v>603</v>
      </c>
      <c r="H17" s="299" t="s">
        <v>603</v>
      </c>
    </row>
    <row r="18" spans="1:8" ht="25.5" x14ac:dyDescent="0.2">
      <c r="A18" s="3"/>
      <c r="B18" s="110" t="s">
        <v>379</v>
      </c>
      <c r="C18" s="299" t="s">
        <v>603</v>
      </c>
      <c r="D18" s="299" t="s">
        <v>603</v>
      </c>
      <c r="E18" s="299" t="s">
        <v>603</v>
      </c>
      <c r="F18" s="299" t="s">
        <v>603</v>
      </c>
      <c r="G18" s="299" t="s">
        <v>603</v>
      </c>
      <c r="H18" s="299" t="s">
        <v>603</v>
      </c>
    </row>
    <row r="19" spans="1:8" ht="12.75" x14ac:dyDescent="0.2">
      <c r="A19" s="3"/>
      <c r="B19" s="108" t="s">
        <v>378</v>
      </c>
      <c r="C19" s="109">
        <f t="shared" ref="C19:H19" si="2">SUM(C16:C18)</f>
        <v>0</v>
      </c>
      <c r="D19" s="109">
        <f t="shared" si="2"/>
        <v>0</v>
      </c>
      <c r="E19" s="109">
        <f t="shared" si="2"/>
        <v>0</v>
      </c>
      <c r="F19" s="109">
        <f t="shared" si="2"/>
        <v>0</v>
      </c>
      <c r="G19" s="109">
        <f t="shared" si="2"/>
        <v>0</v>
      </c>
      <c r="H19" s="109">
        <f t="shared" si="2"/>
        <v>0</v>
      </c>
    </row>
    <row r="20" spans="1:8" ht="12.75" x14ac:dyDescent="0.2">
      <c r="A20" s="3"/>
      <c r="B20" s="108" t="s">
        <v>377</v>
      </c>
      <c r="C20" s="96">
        <f t="shared" ref="C20:H20" si="3">SUM(C14, C19)</f>
        <v>824</v>
      </c>
      <c r="D20" s="96">
        <f t="shared" si="3"/>
        <v>1053</v>
      </c>
      <c r="E20" s="96">
        <f t="shared" si="3"/>
        <v>0</v>
      </c>
      <c r="F20" s="96">
        <f t="shared" si="3"/>
        <v>3</v>
      </c>
      <c r="G20" s="96">
        <f t="shared" si="3"/>
        <v>7</v>
      </c>
      <c r="H20" s="96">
        <f t="shared" si="3"/>
        <v>0</v>
      </c>
    </row>
    <row r="21" spans="1:8" ht="12.75" x14ac:dyDescent="0.2">
      <c r="A21" s="3"/>
      <c r="B21" s="107"/>
      <c r="C21" s="106"/>
      <c r="D21" s="105"/>
      <c r="E21" s="105"/>
      <c r="F21" s="105"/>
      <c r="G21" s="105"/>
    </row>
    <row r="22" spans="1:8" ht="12.75" x14ac:dyDescent="0.2">
      <c r="A22" s="3"/>
      <c r="B22" s="1" t="s">
        <v>376</v>
      </c>
      <c r="C22" s="104">
        <f>SUM(C14:H14)</f>
        <v>1887</v>
      </c>
      <c r="F22" s="103"/>
      <c r="G22" s="103"/>
    </row>
    <row r="23" spans="1:8" ht="12.75" x14ac:dyDescent="0.2">
      <c r="A23" s="3"/>
      <c r="B23" s="1" t="s">
        <v>375</v>
      </c>
      <c r="C23" s="102">
        <f>SUM(C19:H19)</f>
        <v>0</v>
      </c>
      <c r="F23" s="101"/>
      <c r="G23" s="101"/>
    </row>
    <row r="24" spans="1:8" ht="12.75" x14ac:dyDescent="0.2">
      <c r="A24" s="3"/>
      <c r="B24" s="69" t="s">
        <v>374</v>
      </c>
      <c r="C24" s="100">
        <f>SUM(C22:C23)</f>
        <v>1887</v>
      </c>
      <c r="D24" s="69"/>
      <c r="E24" s="69"/>
      <c r="F24" s="99"/>
      <c r="G24" s="99"/>
    </row>
    <row r="25" spans="1:8" ht="22.5" customHeight="1" x14ac:dyDescent="0.2">
      <c r="A25" s="98" t="s">
        <v>373</v>
      </c>
      <c r="B25" s="603" t="s">
        <v>372</v>
      </c>
      <c r="C25" s="604"/>
      <c r="D25" s="604"/>
      <c r="E25" s="604"/>
      <c r="F25" s="604"/>
      <c r="G25" s="37"/>
    </row>
    <row r="26" spans="1:8" ht="27.75" customHeight="1" x14ac:dyDescent="0.2">
      <c r="A26" s="3"/>
      <c r="B26" s="562" t="s">
        <v>1928</v>
      </c>
      <c r="C26" s="562"/>
      <c r="D26" s="562"/>
      <c r="E26" s="562"/>
      <c r="F26" s="562"/>
      <c r="G26" s="40"/>
    </row>
    <row r="27" spans="1:8" ht="15" customHeight="1" x14ac:dyDescent="0.2">
      <c r="A27" s="3"/>
      <c r="B27" s="562" t="s">
        <v>1323</v>
      </c>
      <c r="C27" s="562"/>
      <c r="D27" s="562"/>
      <c r="E27" s="562"/>
      <c r="F27" s="562"/>
      <c r="G27" s="40"/>
    </row>
    <row r="28" spans="1:8" ht="15.75" customHeight="1" x14ac:dyDescent="0.2">
      <c r="A28" s="3"/>
      <c r="B28" s="562" t="s">
        <v>371</v>
      </c>
      <c r="C28" s="562"/>
      <c r="D28" s="562"/>
      <c r="E28" s="562"/>
      <c r="F28" s="562"/>
      <c r="G28" s="40"/>
    </row>
    <row r="29" spans="1:8" ht="42" customHeight="1" x14ac:dyDescent="0.2">
      <c r="A29" s="3"/>
      <c r="B29" s="562" t="s">
        <v>370</v>
      </c>
      <c r="C29" s="562"/>
      <c r="D29" s="562"/>
      <c r="E29" s="562"/>
      <c r="F29" s="562"/>
      <c r="G29" s="40"/>
    </row>
    <row r="30" spans="1:8" ht="17.100000000000001" customHeight="1" x14ac:dyDescent="0.2">
      <c r="A30" s="3"/>
      <c r="B30" s="562" t="s">
        <v>1318</v>
      </c>
      <c r="C30" s="562"/>
      <c r="D30" s="562"/>
      <c r="E30" s="562"/>
      <c r="F30" s="562"/>
      <c r="G30" s="40"/>
    </row>
    <row r="31" spans="1:8" ht="59.1" customHeight="1" x14ac:dyDescent="0.2">
      <c r="A31" s="3"/>
      <c r="B31" s="562" t="s">
        <v>1319</v>
      </c>
      <c r="C31" s="562"/>
      <c r="D31" s="562"/>
      <c r="E31" s="562"/>
      <c r="F31" s="562"/>
      <c r="G31" s="40"/>
    </row>
    <row r="32" spans="1:8" ht="86.1" customHeight="1" x14ac:dyDescent="0.2">
      <c r="A32" s="3"/>
      <c r="B32" s="562" t="s">
        <v>1320</v>
      </c>
      <c r="C32" s="562"/>
      <c r="D32" s="562"/>
      <c r="E32" s="562"/>
      <c r="F32" s="562"/>
      <c r="G32" s="40"/>
    </row>
    <row r="33" spans="1:7" ht="36.950000000000003" customHeight="1" x14ac:dyDescent="0.2">
      <c r="A33" s="3"/>
      <c r="B33" s="572" t="s">
        <v>1321</v>
      </c>
      <c r="C33" s="572"/>
      <c r="D33" s="572"/>
      <c r="E33" s="572"/>
      <c r="F33" s="572"/>
      <c r="G33" s="40"/>
    </row>
    <row r="34" spans="1:7" ht="60" x14ac:dyDescent="0.2">
      <c r="A34" s="3"/>
      <c r="B34" s="599"/>
      <c r="C34" s="599"/>
      <c r="D34" s="27" t="s">
        <v>369</v>
      </c>
      <c r="E34" s="97" t="s">
        <v>368</v>
      </c>
      <c r="F34" s="97" t="s">
        <v>367</v>
      </c>
      <c r="G34" s="215"/>
    </row>
    <row r="35" spans="1:7" ht="12.75" x14ac:dyDescent="0.2">
      <c r="A35" s="3"/>
      <c r="B35" s="595" t="s">
        <v>1322</v>
      </c>
      <c r="C35" s="595"/>
      <c r="D35" s="300">
        <v>53</v>
      </c>
      <c r="E35" s="300">
        <v>220</v>
      </c>
      <c r="F35" s="300">
        <v>220</v>
      </c>
      <c r="G35" s="101"/>
    </row>
    <row r="36" spans="1:7" ht="12.75" x14ac:dyDescent="0.2">
      <c r="A36" s="3"/>
      <c r="B36" s="596" t="s">
        <v>366</v>
      </c>
      <c r="C36" s="597"/>
      <c r="D36" s="300">
        <v>45</v>
      </c>
      <c r="E36" s="300">
        <v>144</v>
      </c>
      <c r="F36" s="300">
        <v>144</v>
      </c>
      <c r="G36" s="101"/>
    </row>
    <row r="37" spans="1:7" ht="12.75" x14ac:dyDescent="0.2">
      <c r="A37" s="3"/>
      <c r="B37" s="595" t="s">
        <v>365</v>
      </c>
      <c r="C37" s="595"/>
      <c r="D37" s="300">
        <v>14</v>
      </c>
      <c r="E37" s="300">
        <v>55</v>
      </c>
      <c r="F37" s="300">
        <v>55</v>
      </c>
      <c r="G37" s="101"/>
    </row>
    <row r="38" spans="1:7" ht="12.75" x14ac:dyDescent="0.2">
      <c r="A38" s="3"/>
      <c r="B38" s="598" t="s">
        <v>364</v>
      </c>
      <c r="C38" s="597"/>
      <c r="D38" s="300">
        <v>346</v>
      </c>
      <c r="E38" s="300">
        <v>1246</v>
      </c>
      <c r="F38" s="300">
        <v>1246</v>
      </c>
      <c r="G38" s="101"/>
    </row>
    <row r="39" spans="1:7" ht="15" customHeight="1" x14ac:dyDescent="0.2">
      <c r="A39" s="3"/>
      <c r="B39" s="595" t="s">
        <v>363</v>
      </c>
      <c r="C39" s="595"/>
      <c r="D39" s="300">
        <v>0</v>
      </c>
      <c r="E39" s="300">
        <v>0</v>
      </c>
      <c r="F39" s="300">
        <v>0</v>
      </c>
      <c r="G39" s="101"/>
    </row>
    <row r="40" spans="1:7" ht="12.75" x14ac:dyDescent="0.2">
      <c r="A40" s="3"/>
      <c r="B40" s="595" t="s">
        <v>362</v>
      </c>
      <c r="C40" s="595"/>
      <c r="D40" s="300">
        <v>32</v>
      </c>
      <c r="E40" s="300">
        <v>85</v>
      </c>
      <c r="F40" s="300">
        <v>85</v>
      </c>
      <c r="G40" s="101"/>
    </row>
    <row r="41" spans="1:7" ht="26.25" customHeight="1" x14ac:dyDescent="0.2">
      <c r="A41" s="3"/>
      <c r="B41" s="600" t="s">
        <v>361</v>
      </c>
      <c r="C41" s="601"/>
      <c r="D41" s="300">
        <v>0</v>
      </c>
      <c r="E41" s="300">
        <v>1</v>
      </c>
      <c r="F41" s="300">
        <v>1</v>
      </c>
      <c r="G41" s="101"/>
    </row>
    <row r="42" spans="1:7" ht="12.75" x14ac:dyDescent="0.2">
      <c r="A42" s="3"/>
      <c r="B42" s="595" t="s">
        <v>360</v>
      </c>
      <c r="C42" s="595"/>
      <c r="D42" s="300">
        <v>36</v>
      </c>
      <c r="E42" s="300">
        <v>102</v>
      </c>
      <c r="F42" s="300">
        <v>102</v>
      </c>
      <c r="G42" s="101"/>
    </row>
    <row r="43" spans="1:7" ht="12.75" x14ac:dyDescent="0.2">
      <c r="A43" s="3"/>
      <c r="B43" s="595" t="s">
        <v>359</v>
      </c>
      <c r="C43" s="595"/>
      <c r="D43" s="300">
        <v>5</v>
      </c>
      <c r="E43" s="300">
        <v>24</v>
      </c>
      <c r="F43" s="300">
        <v>24</v>
      </c>
      <c r="G43" s="101"/>
    </row>
    <row r="44" spans="1:7" ht="12.75" x14ac:dyDescent="0.2">
      <c r="A44" s="3"/>
      <c r="B44" s="602" t="s">
        <v>358</v>
      </c>
      <c r="C44" s="602"/>
      <c r="D44" s="96">
        <f>SUM(D35:D43)</f>
        <v>531</v>
      </c>
      <c r="E44" s="96">
        <f>SUM(E35:E43)</f>
        <v>1877</v>
      </c>
      <c r="F44" s="96">
        <f>SUM(F35:F43)</f>
        <v>1877</v>
      </c>
      <c r="G44" s="209"/>
    </row>
    <row r="45" spans="1:7" ht="12.75" x14ac:dyDescent="0.2"/>
    <row r="46" spans="1:7" ht="15.75" x14ac:dyDescent="0.25">
      <c r="B46" s="95" t="s">
        <v>357</v>
      </c>
    </row>
    <row r="47" spans="1:7" ht="12.75" x14ac:dyDescent="0.2">
      <c r="A47" s="3" t="s">
        <v>356</v>
      </c>
      <c r="B47" s="69" t="s">
        <v>1929</v>
      </c>
      <c r="F47" s="94"/>
      <c r="G47" s="94"/>
    </row>
    <row r="48" spans="1:7" ht="12.75" x14ac:dyDescent="0.2">
      <c r="A48" s="3"/>
      <c r="B48" s="1" t="s">
        <v>355</v>
      </c>
      <c r="C48" s="228" t="s">
        <v>603</v>
      </c>
      <c r="F48" s="94"/>
      <c r="G48" s="94"/>
    </row>
    <row r="49" spans="1:9" ht="12.75" x14ac:dyDescent="0.2">
      <c r="A49" s="3"/>
      <c r="B49" s="1" t="s">
        <v>354</v>
      </c>
      <c r="C49" s="228" t="s">
        <v>603</v>
      </c>
      <c r="F49" s="94"/>
      <c r="G49" s="94"/>
    </row>
    <row r="50" spans="1:9" ht="12.75" x14ac:dyDescent="0.2">
      <c r="A50" s="3"/>
      <c r="B50" s="1" t="s">
        <v>353</v>
      </c>
      <c r="C50" s="228">
        <v>459</v>
      </c>
      <c r="F50" s="94"/>
      <c r="G50" s="94"/>
    </row>
    <row r="51" spans="1:9" ht="12.75" x14ac:dyDescent="0.2">
      <c r="A51" s="3"/>
      <c r="B51" s="1" t="s">
        <v>352</v>
      </c>
      <c r="C51" s="228" t="s">
        <v>603</v>
      </c>
      <c r="F51" s="94"/>
      <c r="G51" s="94"/>
    </row>
    <row r="52" spans="1:9" ht="12.75" x14ac:dyDescent="0.2">
      <c r="A52" s="3"/>
      <c r="B52" s="1" t="s">
        <v>351</v>
      </c>
      <c r="C52" s="228" t="s">
        <v>603</v>
      </c>
      <c r="F52" s="94"/>
      <c r="G52" s="94"/>
    </row>
    <row r="53" spans="1:9" ht="12.75" x14ac:dyDescent="0.2">
      <c r="A53" s="3"/>
      <c r="B53" s="1" t="s">
        <v>350</v>
      </c>
      <c r="C53" s="228" t="s">
        <v>603</v>
      </c>
      <c r="F53" s="94"/>
      <c r="G53" s="94"/>
    </row>
    <row r="54" spans="1:9" ht="25.5" x14ac:dyDescent="0.2">
      <c r="A54" s="3"/>
      <c r="B54" s="35" t="s">
        <v>349</v>
      </c>
      <c r="C54" s="228" t="s">
        <v>603</v>
      </c>
      <c r="F54" s="94"/>
      <c r="G54" s="94"/>
    </row>
    <row r="55" spans="1:9" ht="24.75" customHeight="1" x14ac:dyDescent="0.2">
      <c r="A55" s="3"/>
      <c r="B55" s="35" t="s">
        <v>348</v>
      </c>
      <c r="C55" s="228" t="s">
        <v>603</v>
      </c>
      <c r="F55" s="94"/>
      <c r="G55" s="94"/>
    </row>
    <row r="56" spans="1:9" ht="12.75" x14ac:dyDescent="0.2">
      <c r="A56" s="3"/>
      <c r="B56" s="1" t="s">
        <v>347</v>
      </c>
      <c r="C56" s="228" t="s">
        <v>603</v>
      </c>
      <c r="F56" s="94"/>
      <c r="G56" s="94"/>
    </row>
    <row r="57" spans="1:9" ht="15" x14ac:dyDescent="0.2">
      <c r="B57" s="93" t="s">
        <v>346</v>
      </c>
      <c r="C57" s="40"/>
      <c r="D57" s="40"/>
      <c r="E57" s="40"/>
      <c r="F57" s="40"/>
      <c r="G57" s="40"/>
    </row>
    <row r="58" spans="1:9" ht="24.75" customHeight="1" x14ac:dyDescent="0.2">
      <c r="B58" s="562" t="s">
        <v>345</v>
      </c>
      <c r="C58" s="562"/>
      <c r="D58" s="562"/>
      <c r="E58" s="562"/>
      <c r="F58" s="562"/>
      <c r="G58" s="40"/>
    </row>
    <row r="59" spans="1:9" ht="46.5" customHeight="1" x14ac:dyDescent="0.2">
      <c r="B59" s="562" t="s">
        <v>1930</v>
      </c>
      <c r="C59" s="562"/>
      <c r="D59" s="562"/>
      <c r="E59" s="562"/>
      <c r="F59" s="562"/>
      <c r="G59" s="40"/>
    </row>
    <row r="60" spans="1:9" s="40" customFormat="1" ht="180" customHeight="1" x14ac:dyDescent="0.2">
      <c r="A60" s="2"/>
      <c r="B60" s="562" t="s">
        <v>1931</v>
      </c>
      <c r="C60" s="562"/>
      <c r="D60" s="562"/>
      <c r="E60" s="562"/>
      <c r="F60" s="562"/>
      <c r="I60" s="1"/>
    </row>
    <row r="61" spans="1:9" s="40" customFormat="1" ht="27.75" customHeight="1" x14ac:dyDescent="0.2">
      <c r="A61" s="2"/>
      <c r="B61" s="585" t="s">
        <v>344</v>
      </c>
      <c r="C61" s="585"/>
      <c r="D61" s="585"/>
      <c r="E61" s="585"/>
      <c r="F61" s="585"/>
      <c r="G61" s="167"/>
      <c r="I61" s="1"/>
    </row>
    <row r="62" spans="1:9" s="40" customFormat="1" ht="26.25" customHeight="1" x14ac:dyDescent="0.2">
      <c r="A62" s="2"/>
      <c r="B62" s="577" t="s">
        <v>1932</v>
      </c>
      <c r="C62" s="577"/>
      <c r="D62" s="577"/>
      <c r="E62" s="577"/>
      <c r="F62" s="577"/>
      <c r="G62" s="5"/>
      <c r="I62" s="1"/>
    </row>
    <row r="63" spans="1:9" s="40" customFormat="1" ht="26.25" customHeight="1" x14ac:dyDescent="0.2">
      <c r="A63" s="2"/>
      <c r="B63" s="586" t="s">
        <v>1933</v>
      </c>
      <c r="C63" s="586"/>
      <c r="D63" s="586"/>
      <c r="E63" s="586"/>
      <c r="F63" s="586"/>
      <c r="G63" s="210"/>
      <c r="I63" s="1"/>
    </row>
    <row r="64" spans="1:9" s="40" customFormat="1" ht="54.75" customHeight="1" x14ac:dyDescent="0.2">
      <c r="A64" s="2"/>
      <c r="B64" s="587"/>
      <c r="C64" s="589" t="s">
        <v>343</v>
      </c>
      <c r="D64" s="589" t="s">
        <v>342</v>
      </c>
      <c r="E64" s="589" t="s">
        <v>341</v>
      </c>
      <c r="F64" s="589" t="s">
        <v>340</v>
      </c>
      <c r="G64" s="211"/>
      <c r="I64" s="1"/>
    </row>
    <row r="65" spans="1:9" s="40" customFormat="1" ht="24" customHeight="1" x14ac:dyDescent="0.2">
      <c r="A65" s="2"/>
      <c r="B65" s="588"/>
      <c r="C65" s="590"/>
      <c r="D65" s="590"/>
      <c r="E65" s="590"/>
      <c r="F65" s="590"/>
      <c r="G65" s="211"/>
      <c r="I65" s="1"/>
    </row>
    <row r="66" spans="1:9" s="40" customFormat="1" ht="51.75" customHeight="1" x14ac:dyDescent="0.2">
      <c r="A66" s="92" t="s">
        <v>63</v>
      </c>
      <c r="B66" s="546" t="s">
        <v>1934</v>
      </c>
      <c r="C66" s="224">
        <v>38</v>
      </c>
      <c r="D66" s="224">
        <v>113</v>
      </c>
      <c r="E66" s="224">
        <v>274</v>
      </c>
      <c r="F66" s="302">
        <f t="shared" ref="F66:F71" si="4">SUM(C66:E66)</f>
        <v>425</v>
      </c>
      <c r="I66" s="1"/>
    </row>
    <row r="67" spans="1:9" s="40" customFormat="1" ht="119.25" customHeight="1" x14ac:dyDescent="0.2">
      <c r="A67" s="92" t="s">
        <v>64</v>
      </c>
      <c r="B67" s="547" t="s">
        <v>1935</v>
      </c>
      <c r="C67" s="224">
        <v>0</v>
      </c>
      <c r="D67" s="224">
        <v>0</v>
      </c>
      <c r="E67" s="224">
        <v>0</v>
      </c>
      <c r="F67" s="302">
        <f t="shared" si="4"/>
        <v>0</v>
      </c>
      <c r="I67" s="1"/>
    </row>
    <row r="68" spans="1:9" s="40" customFormat="1" ht="27.75" customHeight="1" x14ac:dyDescent="0.2">
      <c r="A68" s="92" t="s">
        <v>66</v>
      </c>
      <c r="B68" s="546" t="s">
        <v>1936</v>
      </c>
      <c r="C68" s="302">
        <f>(C66-C67)</f>
        <v>38</v>
      </c>
      <c r="D68" s="302">
        <f>(D66-D67)</f>
        <v>113</v>
      </c>
      <c r="E68" s="302">
        <f>(E66-E67)</f>
        <v>274</v>
      </c>
      <c r="F68" s="302">
        <f t="shared" si="4"/>
        <v>425</v>
      </c>
      <c r="I68" s="1"/>
    </row>
    <row r="69" spans="1:9" s="40" customFormat="1" ht="51.75" customHeight="1" x14ac:dyDescent="0.2">
      <c r="A69" s="92" t="s">
        <v>68</v>
      </c>
      <c r="B69" s="548" t="s">
        <v>1937</v>
      </c>
      <c r="C69" s="224">
        <v>36</v>
      </c>
      <c r="D69" s="224">
        <v>111</v>
      </c>
      <c r="E69" s="224">
        <v>262</v>
      </c>
      <c r="F69" s="302">
        <f t="shared" si="4"/>
        <v>409</v>
      </c>
      <c r="I69" s="1"/>
    </row>
    <row r="70" spans="1:9" s="40" customFormat="1" ht="63.75" customHeight="1" x14ac:dyDescent="0.2">
      <c r="A70" s="92" t="s">
        <v>70</v>
      </c>
      <c r="B70" s="548" t="s">
        <v>1938</v>
      </c>
      <c r="C70" s="224">
        <v>2</v>
      </c>
      <c r="D70" s="224">
        <v>2</v>
      </c>
      <c r="E70" s="224">
        <v>11</v>
      </c>
      <c r="F70" s="302">
        <f t="shared" si="4"/>
        <v>15</v>
      </c>
      <c r="I70" s="1"/>
    </row>
    <row r="71" spans="1:9" s="40" customFormat="1" ht="68.25" customHeight="1" x14ac:dyDescent="0.2">
      <c r="A71" s="92" t="s">
        <v>72</v>
      </c>
      <c r="B71" s="548" t="s">
        <v>1939</v>
      </c>
      <c r="C71" s="224">
        <v>1</v>
      </c>
      <c r="D71" s="224">
        <v>0</v>
      </c>
      <c r="E71" s="224">
        <v>1</v>
      </c>
      <c r="F71" s="302">
        <f t="shared" si="4"/>
        <v>2</v>
      </c>
      <c r="I71" s="1"/>
    </row>
    <row r="72" spans="1:9" s="40" customFormat="1" ht="36" customHeight="1" x14ac:dyDescent="0.2">
      <c r="A72" s="92" t="s">
        <v>74</v>
      </c>
      <c r="B72" s="548" t="s">
        <v>339</v>
      </c>
      <c r="C72" s="302">
        <f>SUM(C69:C71)</f>
        <v>39</v>
      </c>
      <c r="D72" s="302">
        <f t="shared" ref="D72:E72" si="5">SUM(D69:D71)</f>
        <v>113</v>
      </c>
      <c r="E72" s="302">
        <f t="shared" si="5"/>
        <v>274</v>
      </c>
      <c r="F72" s="302">
        <f>SUM(F69:F71)</f>
        <v>426</v>
      </c>
      <c r="I72" s="1"/>
    </row>
    <row r="73" spans="1:9" s="40" customFormat="1" ht="43.5" customHeight="1" x14ac:dyDescent="0.2">
      <c r="A73" s="92" t="s">
        <v>76</v>
      </c>
      <c r="B73" s="548" t="s">
        <v>1940</v>
      </c>
      <c r="C73" s="303">
        <f>C72/C68</f>
        <v>1.0263157894736843</v>
      </c>
      <c r="D73" s="303">
        <f>D72/D68</f>
        <v>1</v>
      </c>
      <c r="E73" s="303">
        <f>E72/E68</f>
        <v>1</v>
      </c>
      <c r="F73" s="303">
        <f>F72/F68</f>
        <v>1.0023529411764707</v>
      </c>
      <c r="I73" s="1"/>
    </row>
    <row r="74" spans="1:9" s="40" customFormat="1" ht="21" customHeight="1" x14ac:dyDescent="0.2">
      <c r="A74" s="92"/>
      <c r="B74" s="91"/>
      <c r="I74" s="1"/>
    </row>
    <row r="75" spans="1:9" s="40" customFormat="1" ht="18.75" customHeight="1" x14ac:dyDescent="0.2">
      <c r="A75" s="2"/>
      <c r="B75" s="591" t="s">
        <v>1941</v>
      </c>
      <c r="C75" s="592"/>
      <c r="D75" s="592"/>
      <c r="E75" s="592"/>
      <c r="F75" s="592"/>
      <c r="G75" s="195"/>
      <c r="I75" s="1"/>
    </row>
    <row r="76" spans="1:9" s="40" customFormat="1" ht="54.75" customHeight="1" x14ac:dyDescent="0.2">
      <c r="A76" s="2"/>
      <c r="B76" s="593"/>
      <c r="C76" s="594" t="s">
        <v>343</v>
      </c>
      <c r="D76" s="594" t="s">
        <v>342</v>
      </c>
      <c r="E76" s="594" t="s">
        <v>341</v>
      </c>
      <c r="F76" s="594" t="s">
        <v>340</v>
      </c>
      <c r="G76" s="211"/>
      <c r="I76" s="1"/>
    </row>
    <row r="77" spans="1:9" s="40" customFormat="1" ht="25.5" customHeight="1" x14ac:dyDescent="0.2">
      <c r="A77" s="2"/>
      <c r="B77" s="593"/>
      <c r="C77" s="594"/>
      <c r="D77" s="594"/>
      <c r="E77" s="594"/>
      <c r="F77" s="594"/>
      <c r="G77" s="211"/>
      <c r="I77" s="1"/>
    </row>
    <row r="78" spans="1:9" s="40" customFormat="1" ht="54.75" customHeight="1" x14ac:dyDescent="0.2">
      <c r="A78" s="90" t="s">
        <v>63</v>
      </c>
      <c r="B78" s="546" t="s">
        <v>1942</v>
      </c>
      <c r="C78" s="301" t="s">
        <v>603</v>
      </c>
      <c r="D78" s="301" t="s">
        <v>603</v>
      </c>
      <c r="E78" s="301" t="s">
        <v>603</v>
      </c>
      <c r="F78" s="302">
        <f t="shared" ref="F78:F84" si="6">SUM(C78:E78)</f>
        <v>0</v>
      </c>
      <c r="G78" s="141"/>
      <c r="I78" s="1"/>
    </row>
    <row r="79" spans="1:9" s="40" customFormat="1" ht="120" customHeight="1" x14ac:dyDescent="0.2">
      <c r="A79" s="90" t="s">
        <v>64</v>
      </c>
      <c r="B79" s="549" t="s">
        <v>1943</v>
      </c>
      <c r="C79" s="301" t="s">
        <v>603</v>
      </c>
      <c r="D79" s="301" t="s">
        <v>603</v>
      </c>
      <c r="E79" s="301" t="s">
        <v>603</v>
      </c>
      <c r="F79" s="302">
        <f t="shared" si="6"/>
        <v>0</v>
      </c>
      <c r="G79" s="141"/>
      <c r="I79" s="1"/>
    </row>
    <row r="80" spans="1:9" s="40" customFormat="1" ht="34.5" customHeight="1" x14ac:dyDescent="0.2">
      <c r="A80" s="90" t="s">
        <v>66</v>
      </c>
      <c r="B80" s="546" t="s">
        <v>1944</v>
      </c>
      <c r="C80" s="302" t="e">
        <f>(C78-C79)</f>
        <v>#VALUE!</v>
      </c>
      <c r="D80" s="302" t="e">
        <f>(D78-D79)</f>
        <v>#VALUE!</v>
      </c>
      <c r="E80" s="302" t="e">
        <f>(E78-E79)</f>
        <v>#VALUE!</v>
      </c>
      <c r="F80" s="302" t="e">
        <f t="shared" si="6"/>
        <v>#VALUE!</v>
      </c>
      <c r="G80" s="141"/>
      <c r="I80" s="1"/>
    </row>
    <row r="81" spans="1:9" s="40" customFormat="1" ht="52.5" customHeight="1" x14ac:dyDescent="0.2">
      <c r="A81" s="90" t="s">
        <v>68</v>
      </c>
      <c r="B81" s="546" t="s">
        <v>1945</v>
      </c>
      <c r="C81" s="301" t="s">
        <v>603</v>
      </c>
      <c r="D81" s="301" t="s">
        <v>603</v>
      </c>
      <c r="E81" s="301" t="s">
        <v>603</v>
      </c>
      <c r="F81" s="302">
        <f t="shared" si="6"/>
        <v>0</v>
      </c>
      <c r="G81" s="141"/>
      <c r="I81" s="1"/>
    </row>
    <row r="82" spans="1:9" s="40" customFormat="1" ht="68.25" customHeight="1" x14ac:dyDescent="0.2">
      <c r="A82" s="90" t="s">
        <v>70</v>
      </c>
      <c r="B82" s="546" t="s">
        <v>1946</v>
      </c>
      <c r="C82" s="301" t="s">
        <v>603</v>
      </c>
      <c r="D82" s="301" t="s">
        <v>603</v>
      </c>
      <c r="E82" s="301" t="s">
        <v>603</v>
      </c>
      <c r="F82" s="302">
        <f t="shared" si="6"/>
        <v>0</v>
      </c>
      <c r="G82" s="141"/>
      <c r="I82" s="1"/>
    </row>
    <row r="83" spans="1:9" s="40" customFormat="1" ht="65.25" customHeight="1" x14ac:dyDescent="0.2">
      <c r="A83" s="90" t="s">
        <v>72</v>
      </c>
      <c r="B83" s="548" t="s">
        <v>1947</v>
      </c>
      <c r="C83" s="301" t="s">
        <v>603</v>
      </c>
      <c r="D83" s="301" t="s">
        <v>603</v>
      </c>
      <c r="E83" s="301" t="s">
        <v>603</v>
      </c>
      <c r="F83" s="302">
        <f t="shared" si="6"/>
        <v>0</v>
      </c>
      <c r="G83" s="141"/>
      <c r="I83" s="1"/>
    </row>
    <row r="84" spans="1:9" s="40" customFormat="1" ht="31.5" customHeight="1" x14ac:dyDescent="0.2">
      <c r="A84" s="90" t="s">
        <v>74</v>
      </c>
      <c r="B84" s="548" t="s">
        <v>339</v>
      </c>
      <c r="C84" s="302">
        <f>SUM(C81:C83)</f>
        <v>0</v>
      </c>
      <c r="D84" s="302">
        <f t="shared" ref="D84:E84" si="7">SUM(D81:D83)</f>
        <v>0</v>
      </c>
      <c r="E84" s="302">
        <f t="shared" si="7"/>
        <v>0</v>
      </c>
      <c r="F84" s="302">
        <f t="shared" si="6"/>
        <v>0</v>
      </c>
      <c r="G84" s="141"/>
      <c r="I84" s="1"/>
    </row>
    <row r="85" spans="1:9" s="40" customFormat="1" ht="37.5" customHeight="1" x14ac:dyDescent="0.2">
      <c r="A85" s="90" t="s">
        <v>76</v>
      </c>
      <c r="B85" s="548" t="s">
        <v>1948</v>
      </c>
      <c r="C85" s="303" t="e">
        <f>C84/C80</f>
        <v>#VALUE!</v>
      </c>
      <c r="D85" s="303" t="e">
        <f>D84/D80</f>
        <v>#VALUE!</v>
      </c>
      <c r="E85" s="303" t="e">
        <f>E84/E80</f>
        <v>#VALUE!</v>
      </c>
      <c r="F85" s="303" t="e">
        <f>F84/F80</f>
        <v>#VALUE!</v>
      </c>
      <c r="G85" s="141"/>
      <c r="I85" s="1"/>
    </row>
    <row r="86" spans="1:9" ht="21.75" customHeight="1" x14ac:dyDescent="0.2">
      <c r="B86" s="69" t="s">
        <v>338</v>
      </c>
      <c r="F86" s="89"/>
      <c r="G86" s="89"/>
    </row>
    <row r="87" spans="1:9" ht="32.25" customHeight="1" x14ac:dyDescent="0.2">
      <c r="B87" s="578" t="s">
        <v>1949</v>
      </c>
      <c r="C87" s="578"/>
      <c r="D87" s="578"/>
      <c r="E87" s="578"/>
      <c r="F87" s="578"/>
      <c r="G87" s="40"/>
    </row>
    <row r="88" spans="1:9" ht="12.75" x14ac:dyDescent="0.2">
      <c r="B88" s="579"/>
      <c r="C88" s="579"/>
      <c r="D88" s="579"/>
      <c r="E88" s="550" t="s">
        <v>1950</v>
      </c>
      <c r="F88" s="550" t="s">
        <v>1951</v>
      </c>
      <c r="G88" s="212"/>
      <c r="I88" s="40"/>
    </row>
    <row r="89" spans="1:9" ht="23.25" customHeight="1" x14ac:dyDescent="0.2">
      <c r="A89" s="3" t="s">
        <v>337</v>
      </c>
      <c r="B89" s="575" t="s">
        <v>336</v>
      </c>
      <c r="C89" s="576"/>
      <c r="D89" s="576"/>
      <c r="E89" s="304"/>
      <c r="F89" s="299"/>
      <c r="G89" s="89"/>
      <c r="I89" s="40"/>
    </row>
    <row r="90" spans="1:9" ht="94.5" customHeight="1" x14ac:dyDescent="0.2">
      <c r="A90" s="3" t="s">
        <v>335</v>
      </c>
      <c r="B90" s="573" t="s">
        <v>334</v>
      </c>
      <c r="C90" s="574"/>
      <c r="D90" s="574"/>
      <c r="E90" s="304"/>
      <c r="F90" s="299"/>
      <c r="G90" s="89"/>
      <c r="I90" s="40"/>
    </row>
    <row r="91" spans="1:9" ht="13.5" customHeight="1" x14ac:dyDescent="0.2">
      <c r="A91" s="3" t="s">
        <v>333</v>
      </c>
      <c r="B91" s="575" t="s">
        <v>332</v>
      </c>
      <c r="C91" s="576"/>
      <c r="D91" s="576"/>
      <c r="E91" s="75">
        <f>E89-E90</f>
        <v>0</v>
      </c>
      <c r="F91" s="75">
        <f>F89-F90</f>
        <v>0</v>
      </c>
      <c r="G91" s="89"/>
      <c r="I91" s="40"/>
    </row>
    <row r="92" spans="1:9" ht="16.5" customHeight="1" x14ac:dyDescent="0.2">
      <c r="A92" s="3" t="s">
        <v>331</v>
      </c>
      <c r="B92" s="575" t="s">
        <v>330</v>
      </c>
      <c r="C92" s="576"/>
      <c r="D92" s="576"/>
      <c r="E92" s="304"/>
      <c r="F92" s="299"/>
      <c r="G92" s="89"/>
      <c r="I92" s="40"/>
    </row>
    <row r="93" spans="1:9" ht="27.75" customHeight="1" x14ac:dyDescent="0.2">
      <c r="A93" s="3" t="s">
        <v>329</v>
      </c>
      <c r="B93" s="575" t="s">
        <v>328</v>
      </c>
      <c r="C93" s="576"/>
      <c r="D93" s="576"/>
      <c r="E93" s="304"/>
      <c r="F93" s="299"/>
      <c r="G93" s="89"/>
      <c r="I93" s="40"/>
    </row>
    <row r="94" spans="1:9" ht="13.5" customHeight="1" x14ac:dyDescent="0.2">
      <c r="A94" s="3" t="s">
        <v>327</v>
      </c>
      <c r="B94" s="575" t="s">
        <v>326</v>
      </c>
      <c r="C94" s="576"/>
      <c r="D94" s="576"/>
      <c r="E94" s="304"/>
      <c r="F94" s="299"/>
      <c r="G94" s="89"/>
      <c r="I94" s="40"/>
    </row>
    <row r="95" spans="1:9" ht="27" customHeight="1" x14ac:dyDescent="0.2">
      <c r="A95" s="3" t="s">
        <v>325</v>
      </c>
      <c r="B95" s="575" t="s">
        <v>324</v>
      </c>
      <c r="C95" s="576"/>
      <c r="D95" s="576"/>
      <c r="E95" s="304"/>
      <c r="F95" s="299"/>
      <c r="G95" s="89"/>
      <c r="I95" s="40"/>
    </row>
    <row r="96" spans="1:9" ht="12.75" customHeight="1" x14ac:dyDescent="0.2">
      <c r="A96" s="3" t="s">
        <v>323</v>
      </c>
      <c r="B96" s="575" t="s">
        <v>322</v>
      </c>
      <c r="C96" s="576"/>
      <c r="D96" s="576"/>
      <c r="E96" s="304"/>
      <c r="F96" s="299"/>
      <c r="G96" s="89"/>
      <c r="I96" s="40"/>
    </row>
    <row r="97" spans="1:9" ht="12.75" customHeight="1" x14ac:dyDescent="0.2">
      <c r="A97" s="3" t="s">
        <v>321</v>
      </c>
      <c r="B97" s="575" t="s">
        <v>320</v>
      </c>
      <c r="C97" s="576"/>
      <c r="D97" s="576"/>
      <c r="E97" s="304"/>
      <c r="F97" s="299"/>
      <c r="G97" s="89"/>
      <c r="I97" s="40"/>
    </row>
    <row r="98" spans="1:9" ht="12.75" customHeight="1" x14ac:dyDescent="0.2">
      <c r="A98" s="3" t="s">
        <v>319</v>
      </c>
      <c r="B98" s="575" t="s">
        <v>318</v>
      </c>
      <c r="C98" s="576"/>
      <c r="D98" s="576"/>
      <c r="E98" s="304"/>
      <c r="F98" s="299"/>
      <c r="G98" s="89"/>
      <c r="I98" s="40"/>
    </row>
    <row r="99" spans="1:9" ht="12.75" x14ac:dyDescent="0.2">
      <c r="B99" s="69" t="s">
        <v>317</v>
      </c>
      <c r="I99" s="40"/>
    </row>
    <row r="100" spans="1:9" ht="30.75" customHeight="1" x14ac:dyDescent="0.2">
      <c r="B100" s="577" t="s">
        <v>1952</v>
      </c>
      <c r="C100" s="577"/>
      <c r="D100" s="577"/>
      <c r="E100" s="577"/>
      <c r="F100" s="577"/>
      <c r="G100" s="5"/>
      <c r="I100" s="40"/>
    </row>
    <row r="101" spans="1:9" ht="18" customHeight="1" x14ac:dyDescent="0.2">
      <c r="B101" s="580" t="s">
        <v>316</v>
      </c>
      <c r="C101" s="580"/>
      <c r="D101" s="580"/>
      <c r="E101" s="580"/>
      <c r="F101" s="580"/>
      <c r="G101" s="52"/>
      <c r="I101" s="40"/>
    </row>
    <row r="102" spans="1:9" ht="88.5" customHeight="1" x14ac:dyDescent="0.2">
      <c r="B102" s="581" t="s">
        <v>315</v>
      </c>
      <c r="C102" s="581"/>
      <c r="D102" s="581"/>
      <c r="E102" s="581"/>
      <c r="F102" s="582"/>
      <c r="G102" s="205"/>
      <c r="I102" s="40"/>
    </row>
    <row r="103" spans="1:9" ht="59.25" customHeight="1" x14ac:dyDescent="0.2">
      <c r="A103" s="3" t="s">
        <v>314</v>
      </c>
      <c r="B103" s="583" t="s">
        <v>1953</v>
      </c>
      <c r="C103" s="584"/>
      <c r="D103" s="584"/>
      <c r="E103" s="584"/>
      <c r="F103" s="278">
        <v>0.90700000000000003</v>
      </c>
      <c r="G103" s="213"/>
      <c r="I103" s="40"/>
    </row>
    <row r="104" spans="1:9" ht="12.75" x14ac:dyDescent="0.2">
      <c r="I104" s="40"/>
    </row>
    <row r="105" spans="1:9" ht="0" hidden="1" customHeight="1" x14ac:dyDescent="0.2">
      <c r="I105" s="40"/>
    </row>
    <row r="106" spans="1:9" ht="65.25" hidden="1" customHeight="1" x14ac:dyDescent="0.2">
      <c r="I106" s="40"/>
    </row>
    <row r="107" spans="1:9" ht="51.75" hidden="1" customHeight="1" x14ac:dyDescent="0.2">
      <c r="I107" s="40"/>
    </row>
    <row r="108" spans="1:9" ht="12.75" x14ac:dyDescent="0.2">
      <c r="I108" s="40"/>
    </row>
    <row r="109" spans="1:9" ht="12.75" x14ac:dyDescent="0.2">
      <c r="B109" s="226"/>
      <c r="C109" s="226"/>
      <c r="D109" s="226"/>
      <c r="E109" s="226"/>
      <c r="F109" s="226"/>
      <c r="G109" s="226"/>
      <c r="I109" s="40"/>
    </row>
    <row r="110" spans="1:9" ht="12.75" x14ac:dyDescent="0.2">
      <c r="B110" s="226"/>
      <c r="C110" s="226"/>
      <c r="D110" s="226"/>
      <c r="E110" s="226"/>
      <c r="F110" s="226"/>
      <c r="G110" s="226"/>
      <c r="I110" s="40"/>
    </row>
    <row r="111" spans="1:9" ht="12.75" x14ac:dyDescent="0.2">
      <c r="B111" s="226"/>
      <c r="C111" s="226"/>
      <c r="D111" s="226"/>
      <c r="E111" s="226"/>
      <c r="F111" s="226"/>
      <c r="G111" s="226"/>
      <c r="I111" s="40"/>
    </row>
    <row r="112" spans="1:9" ht="12.75" x14ac:dyDescent="0.2">
      <c r="B112" s="226"/>
      <c r="C112" s="226"/>
      <c r="D112" s="226"/>
      <c r="E112" s="226"/>
      <c r="F112" s="226"/>
      <c r="G112" s="226"/>
      <c r="I112" s="40"/>
    </row>
    <row r="113" spans="2:9" ht="12.75" x14ac:dyDescent="0.2">
      <c r="B113" s="226"/>
      <c r="C113" s="226"/>
      <c r="D113" s="226"/>
      <c r="E113" s="226"/>
      <c r="F113" s="226"/>
      <c r="G113" s="226"/>
      <c r="I113" s="40"/>
    </row>
    <row r="114" spans="2:9" ht="12.75" x14ac:dyDescent="0.2">
      <c r="B114" s="226"/>
      <c r="C114" s="226"/>
      <c r="D114" s="226"/>
      <c r="E114" s="226"/>
      <c r="F114" s="226"/>
      <c r="G114" s="226"/>
      <c r="I114" s="40"/>
    </row>
    <row r="115" spans="2:9" ht="12.75" x14ac:dyDescent="0.2">
      <c r="B115" s="226"/>
      <c r="C115" s="226"/>
      <c r="D115" s="226"/>
      <c r="E115" s="226"/>
      <c r="F115" s="226"/>
      <c r="G115" s="226"/>
      <c r="I115" s="40"/>
    </row>
    <row r="116" spans="2:9" ht="12.75" x14ac:dyDescent="0.2">
      <c r="B116" s="226"/>
      <c r="C116" s="226"/>
      <c r="D116" s="226"/>
      <c r="E116" s="226"/>
      <c r="F116" s="226"/>
      <c r="G116" s="226"/>
    </row>
    <row r="117" spans="2:9" ht="12.75" x14ac:dyDescent="0.2">
      <c r="B117" s="226"/>
      <c r="C117" s="226"/>
      <c r="D117" s="226"/>
      <c r="E117" s="226"/>
      <c r="F117" s="226"/>
      <c r="G117" s="226"/>
    </row>
    <row r="118" spans="2:9" ht="12.75" x14ac:dyDescent="0.2">
      <c r="B118" s="226"/>
      <c r="C118" s="226"/>
      <c r="D118" s="226"/>
      <c r="E118" s="226"/>
      <c r="F118" s="226"/>
      <c r="G118" s="226"/>
    </row>
    <row r="119" spans="2:9" ht="12.75" x14ac:dyDescent="0.2"/>
    <row r="120" spans="2:9" ht="12.75" x14ac:dyDescent="0.2"/>
    <row r="121" spans="2:9" ht="12.75" x14ac:dyDescent="0.2"/>
    <row r="122" spans="2:9" ht="12.75" x14ac:dyDescent="0.2"/>
    <row r="123" spans="2:9" ht="12.75" x14ac:dyDescent="0.2"/>
    <row r="124" spans="2:9" ht="12.75" x14ac:dyDescent="0.2"/>
    <row r="125" spans="2:9" ht="12.75" x14ac:dyDescent="0.2"/>
    <row r="126" spans="2:9" ht="12.75" x14ac:dyDescent="0.2"/>
    <row r="127" spans="2:9" ht="12.75" x14ac:dyDescent="0.2"/>
    <row r="128" spans="2:9" ht="12.75" x14ac:dyDescent="0.2"/>
    <row r="129" ht="12.75" x14ac:dyDescent="0.2"/>
    <row r="130" ht="12.75" x14ac:dyDescent="0.2"/>
    <row r="131" ht="12.75" x14ac:dyDescent="0.2"/>
    <row r="132" ht="12.75" x14ac:dyDescent="0.2"/>
    <row r="133" ht="12.75" x14ac:dyDescent="0.2"/>
    <row r="134" ht="12.75" x14ac:dyDescent="0.2"/>
    <row r="135" ht="12.75" x14ac:dyDescent="0.2"/>
    <row r="136" ht="12.75" x14ac:dyDescent="0.2"/>
    <row r="137" ht="12.75" x14ac:dyDescent="0.2"/>
    <row r="138" ht="12.75" x14ac:dyDescent="0.2"/>
    <row r="139" ht="12.75" x14ac:dyDescent="0.2"/>
    <row r="140" ht="12.75" x14ac:dyDescent="0.2"/>
    <row r="141" ht="12.75" x14ac:dyDescent="0.2"/>
    <row r="142" ht="12.75" x14ac:dyDescent="0.2"/>
    <row r="143" ht="12.75" x14ac:dyDescent="0.2"/>
    <row r="144" ht="12.75" x14ac:dyDescent="0.2"/>
    <row r="145" ht="12.75" x14ac:dyDescent="0.2"/>
    <row r="146" ht="12.75" x14ac:dyDescent="0.2"/>
    <row r="147" ht="12.75" x14ac:dyDescent="0.2"/>
    <row r="148" ht="12.75" x14ac:dyDescent="0.2"/>
    <row r="149" ht="12.75" x14ac:dyDescent="0.2"/>
    <row r="150" ht="12.75" x14ac:dyDescent="0.2"/>
    <row r="151" ht="12.75" x14ac:dyDescent="0.2"/>
    <row r="152" ht="12.75" x14ac:dyDescent="0.2"/>
    <row r="153" ht="12.75" x14ac:dyDescent="0.2"/>
    <row r="154" ht="12.75" x14ac:dyDescent="0.2"/>
    <row r="155" ht="12.75" x14ac:dyDescent="0.2"/>
    <row r="156" ht="12.75" x14ac:dyDescent="0.2"/>
    <row r="157" ht="12.75" x14ac:dyDescent="0.2"/>
    <row r="158" ht="12.75" x14ac:dyDescent="0.2"/>
    <row r="159" ht="12.75" x14ac:dyDescent="0.2"/>
    <row r="160" ht="12.75" x14ac:dyDescent="0.2"/>
    <row r="161" ht="12.75" x14ac:dyDescent="0.2"/>
  </sheetData>
  <sheetProtection algorithmName="SHA-512" hashValue="TM2jRAsfuWMr3a67rwJp4K5eZlaSsHM+jyWy4vD6ZMVhxBranyXlQv0GS5F2uxLObN8Q4NAx0yq967DOwep5hg==" saltValue="np2bIrzmyta0FzTvBMhUJQ==" spinCount="100000" sheet="1" objects="1" scenarios="1"/>
  <mergeCells count="60">
    <mergeCell ref="B25:F25"/>
    <mergeCell ref="B26:F26"/>
    <mergeCell ref="A1:F1"/>
    <mergeCell ref="B3:F3"/>
    <mergeCell ref="B4:F4"/>
    <mergeCell ref="B5:F5"/>
    <mergeCell ref="B6:B7"/>
    <mergeCell ref="F6:H6"/>
    <mergeCell ref="C6:E6"/>
    <mergeCell ref="B27:F27"/>
    <mergeCell ref="B28:F28"/>
    <mergeCell ref="B29:F29"/>
    <mergeCell ref="B59:F59"/>
    <mergeCell ref="B35:C35"/>
    <mergeCell ref="B36:C36"/>
    <mergeCell ref="B37:C37"/>
    <mergeCell ref="B38:C38"/>
    <mergeCell ref="B39:C39"/>
    <mergeCell ref="B40:C40"/>
    <mergeCell ref="B34:C34"/>
    <mergeCell ref="B41:C41"/>
    <mergeCell ref="B42:C42"/>
    <mergeCell ref="B43:C43"/>
    <mergeCell ref="B44:C44"/>
    <mergeCell ref="B30:F30"/>
    <mergeCell ref="B75:F75"/>
    <mergeCell ref="B76:B77"/>
    <mergeCell ref="C76:C77"/>
    <mergeCell ref="D76:D77"/>
    <mergeCell ref="E76:E77"/>
    <mergeCell ref="F76:F77"/>
    <mergeCell ref="B61:F61"/>
    <mergeCell ref="B62:F62"/>
    <mergeCell ref="B63:F63"/>
    <mergeCell ref="B64:B65"/>
    <mergeCell ref="C64:C65"/>
    <mergeCell ref="D64:D65"/>
    <mergeCell ref="E64:E65"/>
    <mergeCell ref="F64:F65"/>
    <mergeCell ref="B101:F101"/>
    <mergeCell ref="B102:F102"/>
    <mergeCell ref="B103:E103"/>
    <mergeCell ref="B93:D93"/>
    <mergeCell ref="B94:D94"/>
    <mergeCell ref="B95:D95"/>
    <mergeCell ref="B96:D96"/>
    <mergeCell ref="B97:D97"/>
    <mergeCell ref="B98:D98"/>
    <mergeCell ref="B90:D90"/>
    <mergeCell ref="B91:D91"/>
    <mergeCell ref="B100:F100"/>
    <mergeCell ref="B92:D92"/>
    <mergeCell ref="B87:F87"/>
    <mergeCell ref="B88:D88"/>
    <mergeCell ref="B89:D89"/>
    <mergeCell ref="B31:F31"/>
    <mergeCell ref="B32:F32"/>
    <mergeCell ref="B33:F33"/>
    <mergeCell ref="B60:F60"/>
    <mergeCell ref="B58:F58"/>
  </mergeCells>
  <dataValidations count="1">
    <dataValidation type="whole" operator="greaterThanOrEqual" allowBlank="1" showInputMessage="1" showErrorMessage="1" sqref="C9:H11 C13:H13 C16:H18" xr:uid="{00000000-0002-0000-0200-000000000000}">
      <formula1>0</formula1>
    </dataValidation>
  </dataValidations>
  <hyperlinks>
    <hyperlink ref="B5:F5" r:id="rId1" display="Note: Report students formerly designated as “first professional” in the graduate cells. For information on reporting study abroad students please see this link. " xr:uid="{00000000-0004-0000-0200-000000000000}"/>
  </hyperlinks>
  <pageMargins left="0.75" right="0.75" top="1" bottom="1" header="0.5" footer="0.5"/>
  <pageSetup scale="75" orientation="portrait" r:id="rId2"/>
  <headerFooter alignWithMargins="0">
    <oddHeader>&amp;LCommon Data Set 2021-2022</oddHeader>
    <oddFooter>&amp;LCDS-B&amp;RPage &amp;P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344"/>
  <sheetViews>
    <sheetView showGridLines="0" showRowColHeaders="0" tabSelected="1" topLeftCell="A314" zoomScale="80" zoomScaleNormal="80" workbookViewId="0">
      <selection activeCell="F331" sqref="F331"/>
    </sheetView>
  </sheetViews>
  <sheetFormatPr defaultColWidth="10.875" defaultRowHeight="15.75" x14ac:dyDescent="0.25"/>
  <cols>
    <col min="1" max="1" width="7.5" customWidth="1"/>
    <col min="2" max="2" width="90.375" customWidth="1"/>
    <col min="3" max="3" width="19.875" customWidth="1"/>
    <col min="4" max="4" width="18.875" customWidth="1"/>
    <col min="5" max="5" width="22.125" customWidth="1"/>
    <col min="6" max="6" width="26.125" customWidth="1"/>
    <col min="7" max="7" width="20" customWidth="1"/>
    <col min="8" max="8" width="31.625" hidden="1" customWidth="1"/>
    <col min="9" max="9" width="45.125" hidden="1" customWidth="1"/>
    <col min="10" max="15" width="10.875" hidden="1" customWidth="1"/>
    <col min="16" max="16" width="15.125" hidden="1" customWidth="1"/>
    <col min="17" max="17" width="16.375" hidden="1" customWidth="1"/>
    <col min="18" max="18" width="21.125" hidden="1" customWidth="1"/>
    <col min="19" max="19" width="16.375" hidden="1" customWidth="1"/>
    <col min="20" max="25" width="10.875" hidden="1" customWidth="1"/>
  </cols>
  <sheetData>
    <row r="1" spans="1:7" ht="18" x14ac:dyDescent="0.25">
      <c r="A1" s="710" t="s">
        <v>1337</v>
      </c>
      <c r="B1" s="711"/>
      <c r="C1" s="711"/>
      <c r="D1" s="711"/>
      <c r="E1" s="711"/>
      <c r="F1" s="711"/>
    </row>
    <row r="2" spans="1:7" ht="30" customHeight="1" x14ac:dyDescent="0.25">
      <c r="A2" s="306"/>
      <c r="B2" s="307" t="s">
        <v>763</v>
      </c>
      <c r="C2" s="308"/>
      <c r="D2" s="308"/>
      <c r="E2" s="308"/>
      <c r="F2" s="308"/>
    </row>
    <row r="3" spans="1:7" ht="38.1" customHeight="1" x14ac:dyDescent="0.25">
      <c r="A3" s="712" t="s">
        <v>762</v>
      </c>
      <c r="B3" s="700" t="s">
        <v>1919</v>
      </c>
      <c r="C3" s="714"/>
      <c r="D3" s="714"/>
      <c r="E3" s="714"/>
      <c r="F3" s="714"/>
    </row>
    <row r="4" spans="1:7" ht="6" customHeight="1" x14ac:dyDescent="0.25">
      <c r="A4" s="713"/>
      <c r="B4" s="714"/>
      <c r="C4" s="714"/>
      <c r="D4" s="714"/>
      <c r="E4" s="714"/>
      <c r="F4" s="714"/>
    </row>
    <row r="5" spans="1:7" ht="18.75" x14ac:dyDescent="0.25">
      <c r="A5" s="310"/>
      <c r="B5" s="701" t="s">
        <v>761</v>
      </c>
      <c r="C5" s="701"/>
      <c r="D5" s="701"/>
      <c r="E5" s="701"/>
      <c r="F5" s="701"/>
    </row>
    <row r="6" spans="1:7" ht="18" x14ac:dyDescent="0.25">
      <c r="A6" s="312"/>
      <c r="B6" s="701" t="s">
        <v>760</v>
      </c>
      <c r="C6" s="701"/>
      <c r="D6" s="701"/>
      <c r="E6" s="701"/>
      <c r="F6" s="701"/>
    </row>
    <row r="7" spans="1:7" ht="18" x14ac:dyDescent="0.25">
      <c r="A7" s="306"/>
      <c r="B7" s="706" t="s">
        <v>1338</v>
      </c>
      <c r="C7" s="706"/>
      <c r="D7" s="706"/>
      <c r="E7" s="706"/>
      <c r="F7" s="706"/>
    </row>
    <row r="8" spans="1:7" ht="20.100000000000001" customHeight="1" x14ac:dyDescent="0.25">
      <c r="A8" s="306"/>
      <c r="B8" s="701" t="s">
        <v>1327</v>
      </c>
      <c r="C8" s="701"/>
      <c r="D8" s="701"/>
      <c r="E8" s="701"/>
      <c r="F8" s="311"/>
    </row>
    <row r="9" spans="1:7" ht="36.950000000000003" customHeight="1" x14ac:dyDescent="0.25">
      <c r="A9" s="306"/>
      <c r="B9" s="701" t="s">
        <v>1390</v>
      </c>
      <c r="C9" s="701"/>
      <c r="D9" s="701"/>
      <c r="E9" s="701"/>
      <c r="F9" s="701"/>
    </row>
    <row r="10" spans="1:7" ht="18" x14ac:dyDescent="0.25">
      <c r="A10" s="306"/>
      <c r="B10" s="311"/>
      <c r="C10" s="311"/>
      <c r="D10" s="311"/>
      <c r="E10" s="311"/>
      <c r="F10" s="311"/>
    </row>
    <row r="11" spans="1:7" ht="18.75" x14ac:dyDescent="0.3">
      <c r="A11" s="309"/>
      <c r="B11" s="707" t="s">
        <v>1324</v>
      </c>
      <c r="C11" s="708"/>
      <c r="D11" s="709"/>
      <c r="E11" s="164">
        <v>3611</v>
      </c>
      <c r="F11" s="308"/>
      <c r="G11" s="314"/>
    </row>
    <row r="12" spans="1:7" ht="18.75" x14ac:dyDescent="0.3">
      <c r="A12" s="309"/>
      <c r="B12" s="695" t="s">
        <v>1325</v>
      </c>
      <c r="C12" s="696"/>
      <c r="D12" s="697"/>
      <c r="E12" s="165">
        <v>4505</v>
      </c>
      <c r="F12" s="308"/>
      <c r="G12" s="314"/>
    </row>
    <row r="13" spans="1:7" ht="18.75" x14ac:dyDescent="0.3">
      <c r="A13" s="309"/>
      <c r="B13" s="669" t="s">
        <v>1326</v>
      </c>
      <c r="C13" s="669"/>
      <c r="D13" s="669"/>
      <c r="E13" s="165"/>
      <c r="F13" s="308"/>
      <c r="G13" s="314"/>
    </row>
    <row r="14" spans="1:7" ht="18.75" x14ac:dyDescent="0.3">
      <c r="A14" s="309"/>
      <c r="B14" s="308"/>
      <c r="C14" s="315"/>
      <c r="D14" s="315"/>
      <c r="E14" s="308"/>
      <c r="F14" s="308"/>
      <c r="G14" s="314"/>
    </row>
    <row r="15" spans="1:7" ht="18.75" x14ac:dyDescent="0.3">
      <c r="A15" s="309"/>
      <c r="B15" s="695" t="s">
        <v>1329</v>
      </c>
      <c r="C15" s="696"/>
      <c r="D15" s="697"/>
      <c r="E15" s="165">
        <v>1052</v>
      </c>
      <c r="F15" s="308"/>
      <c r="G15" s="314"/>
    </row>
    <row r="16" spans="1:7" ht="18.75" x14ac:dyDescent="0.3">
      <c r="A16" s="309"/>
      <c r="B16" s="695" t="s">
        <v>1330</v>
      </c>
      <c r="C16" s="696"/>
      <c r="D16" s="697"/>
      <c r="E16" s="165">
        <v>1732</v>
      </c>
      <c r="F16" s="308"/>
      <c r="G16" s="314"/>
    </row>
    <row r="17" spans="1:7" ht="18.75" x14ac:dyDescent="0.3">
      <c r="A17" s="309"/>
      <c r="B17" s="705" t="s">
        <v>1328</v>
      </c>
      <c r="C17" s="705"/>
      <c r="D17" s="705"/>
      <c r="E17" s="165"/>
      <c r="F17" s="308"/>
      <c r="G17" s="314"/>
    </row>
    <row r="18" spans="1:7" ht="18.75" x14ac:dyDescent="0.3">
      <c r="A18" s="309"/>
      <c r="B18" s="308"/>
      <c r="C18" s="317"/>
      <c r="D18" s="317"/>
      <c r="E18" s="308"/>
      <c r="F18" s="308"/>
      <c r="G18" s="314"/>
    </row>
    <row r="19" spans="1:7" ht="18.75" x14ac:dyDescent="0.3">
      <c r="A19" s="309"/>
      <c r="B19" s="695" t="s">
        <v>1331</v>
      </c>
      <c r="C19" s="696"/>
      <c r="D19" s="697"/>
      <c r="E19" s="165">
        <v>221</v>
      </c>
      <c r="F19" s="308"/>
      <c r="G19" s="314"/>
    </row>
    <row r="20" spans="1:7" ht="18.75" x14ac:dyDescent="0.3">
      <c r="A20" s="309"/>
      <c r="B20" s="695" t="s">
        <v>1332</v>
      </c>
      <c r="C20" s="696"/>
      <c r="D20" s="697"/>
      <c r="E20" s="165" t="s">
        <v>603</v>
      </c>
      <c r="F20" s="308"/>
      <c r="G20" s="314"/>
    </row>
    <row r="21" spans="1:7" ht="18.75" x14ac:dyDescent="0.3">
      <c r="A21" s="309"/>
      <c r="B21" s="308"/>
      <c r="C21" s="317"/>
      <c r="D21" s="317"/>
      <c r="E21" s="308"/>
      <c r="F21" s="308"/>
      <c r="G21" s="314"/>
    </row>
    <row r="22" spans="1:7" ht="18.75" x14ac:dyDescent="0.3">
      <c r="A22" s="309"/>
      <c r="B22" s="698" t="s">
        <v>1333</v>
      </c>
      <c r="C22" s="696"/>
      <c r="D22" s="697"/>
      <c r="E22" s="165">
        <v>310</v>
      </c>
      <c r="F22" s="308"/>
      <c r="G22" s="314"/>
    </row>
    <row r="23" spans="1:7" ht="18.75" x14ac:dyDescent="0.3">
      <c r="A23" s="309"/>
      <c r="B23" s="695" t="s">
        <v>1334</v>
      </c>
      <c r="C23" s="696"/>
      <c r="D23" s="697"/>
      <c r="E23" s="165" t="s">
        <v>603</v>
      </c>
      <c r="F23" s="308"/>
      <c r="G23" s="314"/>
    </row>
    <row r="24" spans="1:7" ht="18.75" x14ac:dyDescent="0.3">
      <c r="A24" s="306"/>
      <c r="B24" s="308"/>
      <c r="C24" s="308"/>
      <c r="D24" s="308"/>
      <c r="E24" s="308"/>
      <c r="F24" s="308"/>
      <c r="G24" s="314"/>
    </row>
    <row r="25" spans="1:7" ht="18.75" x14ac:dyDescent="0.3">
      <c r="A25" s="306"/>
      <c r="B25" s="669" t="s">
        <v>1335</v>
      </c>
      <c r="C25" s="669"/>
      <c r="D25" s="669"/>
      <c r="E25" s="165"/>
      <c r="F25" s="308"/>
      <c r="G25" s="314"/>
    </row>
    <row r="26" spans="1:7" ht="18.75" x14ac:dyDescent="0.3">
      <c r="A26" s="306"/>
      <c r="B26" s="669" t="s">
        <v>1336</v>
      </c>
      <c r="C26" s="669"/>
      <c r="D26" s="669"/>
      <c r="E26" s="165"/>
      <c r="F26" s="308"/>
      <c r="G26" s="314"/>
    </row>
    <row r="27" spans="1:7" ht="18.75" x14ac:dyDescent="0.3">
      <c r="A27" s="306"/>
      <c r="B27" s="308"/>
      <c r="C27" s="308"/>
      <c r="D27" s="308"/>
      <c r="E27" s="308"/>
      <c r="F27" s="308"/>
      <c r="G27" s="314"/>
    </row>
    <row r="28" spans="1:7" ht="18.75" x14ac:dyDescent="0.3">
      <c r="A28" s="306"/>
      <c r="B28" s="698" t="s">
        <v>759</v>
      </c>
      <c r="C28" s="696"/>
      <c r="D28" s="697"/>
      <c r="E28" s="165">
        <v>8116</v>
      </c>
      <c r="F28" s="308"/>
      <c r="G28" s="314"/>
    </row>
    <row r="29" spans="1:7" ht="18.75" x14ac:dyDescent="0.3">
      <c r="A29" s="306"/>
      <c r="B29" s="698" t="s">
        <v>758</v>
      </c>
      <c r="C29" s="696"/>
      <c r="D29" s="697"/>
      <c r="E29" s="165">
        <v>2784</v>
      </c>
      <c r="F29" s="308"/>
      <c r="G29" s="314"/>
    </row>
    <row r="30" spans="1:7" ht="18.75" x14ac:dyDescent="0.3">
      <c r="A30" s="306"/>
      <c r="B30" s="698" t="s">
        <v>757</v>
      </c>
      <c r="C30" s="696"/>
      <c r="D30" s="697"/>
      <c r="E30" s="165">
        <v>531</v>
      </c>
      <c r="F30" s="308"/>
      <c r="G30" s="314"/>
    </row>
    <row r="31" spans="1:7" ht="18.75" x14ac:dyDescent="0.3">
      <c r="A31" s="306"/>
      <c r="B31" s="308"/>
      <c r="C31" s="308"/>
      <c r="D31" s="308"/>
      <c r="E31" s="308"/>
      <c r="F31" s="308"/>
      <c r="G31" s="314"/>
    </row>
    <row r="32" spans="1:7" ht="18.75" x14ac:dyDescent="0.3">
      <c r="A32" s="309" t="s">
        <v>756</v>
      </c>
      <c r="B32" s="699" t="s">
        <v>1339</v>
      </c>
      <c r="C32" s="700"/>
      <c r="D32" s="700"/>
      <c r="E32" s="700"/>
      <c r="F32" s="671"/>
      <c r="G32" s="314"/>
    </row>
    <row r="33" spans="1:8" ht="18.75" x14ac:dyDescent="0.3">
      <c r="A33" s="309"/>
      <c r="B33" s="701" t="s">
        <v>755</v>
      </c>
      <c r="C33" s="701"/>
      <c r="D33" s="701"/>
      <c r="E33" s="701"/>
      <c r="F33" s="701"/>
      <c r="G33" s="314"/>
    </row>
    <row r="34" spans="1:8" ht="18.75" x14ac:dyDescent="0.3">
      <c r="A34" s="309"/>
      <c r="B34" s="311"/>
      <c r="C34" s="311"/>
      <c r="D34" s="311"/>
      <c r="E34" s="311"/>
      <c r="F34" s="311"/>
      <c r="G34" s="314"/>
    </row>
    <row r="35" spans="1:8" ht="18.75" x14ac:dyDescent="0.3">
      <c r="A35" s="309"/>
      <c r="B35" s="318"/>
      <c r="C35" s="308"/>
      <c r="D35" s="319"/>
      <c r="E35" s="319"/>
      <c r="F35" s="308"/>
      <c r="G35" s="314"/>
    </row>
    <row r="36" spans="1:8" ht="30" customHeight="1" x14ac:dyDescent="0.3">
      <c r="A36" s="309"/>
      <c r="B36" s="702" t="s">
        <v>754</v>
      </c>
      <c r="C36" s="702"/>
      <c r="D36" s="320" t="s">
        <v>1147</v>
      </c>
      <c r="E36" s="165" t="s">
        <v>1985</v>
      </c>
      <c r="F36" s="308"/>
      <c r="G36" s="314"/>
      <c r="H36" t="str" cm="1">
        <f t="array" ref="H36">_xlfn.IFS($E$36="YES", "Yes", $E$36="yes", "Yes", $E$36="Yes", "Yes", $E$36="NO", "No", $E$36="no", "No", $E$36="No", "No")</f>
        <v>Yes</v>
      </c>
    </row>
    <row r="37" spans="1:8" ht="18.75" x14ac:dyDescent="0.3">
      <c r="A37" s="309"/>
      <c r="B37" s="321"/>
      <c r="C37" s="321"/>
      <c r="D37" s="319"/>
      <c r="E37" s="319"/>
      <c r="F37" s="308"/>
      <c r="G37" s="314"/>
    </row>
    <row r="38" spans="1:8" ht="18.75" x14ac:dyDescent="0.3">
      <c r="A38" s="309"/>
      <c r="B38" s="703" t="s">
        <v>1920</v>
      </c>
      <c r="C38" s="703"/>
      <c r="D38" s="703"/>
      <c r="E38" s="308"/>
      <c r="F38" s="317"/>
      <c r="G38" s="314"/>
    </row>
    <row r="39" spans="1:8" ht="18.75" x14ac:dyDescent="0.3">
      <c r="A39" s="309"/>
      <c r="B39" s="322"/>
      <c r="C39" s="322"/>
      <c r="D39" s="322"/>
      <c r="E39" s="323"/>
      <c r="F39" s="317"/>
      <c r="G39" s="314"/>
    </row>
    <row r="40" spans="1:8" ht="18.75" x14ac:dyDescent="0.3">
      <c r="A40" s="309"/>
      <c r="B40" s="704" t="s">
        <v>753</v>
      </c>
      <c r="C40" s="704"/>
      <c r="D40" s="704"/>
      <c r="E40" s="324" t="s">
        <v>358</v>
      </c>
      <c r="F40" s="317"/>
      <c r="G40" s="314"/>
    </row>
    <row r="41" spans="1:8" ht="18.75" x14ac:dyDescent="0.3">
      <c r="A41" s="309"/>
      <c r="B41" s="695" t="s">
        <v>752</v>
      </c>
      <c r="C41" s="696"/>
      <c r="D41" s="697"/>
      <c r="E41" s="165">
        <v>2165</v>
      </c>
      <c r="F41" s="317"/>
      <c r="G41" s="314"/>
    </row>
    <row r="42" spans="1:8" ht="18.75" x14ac:dyDescent="0.3">
      <c r="A42" s="309"/>
      <c r="B42" s="669" t="s">
        <v>751</v>
      </c>
      <c r="C42" s="669"/>
      <c r="D42" s="669"/>
      <c r="E42" s="165">
        <v>1172</v>
      </c>
      <c r="F42" s="317"/>
      <c r="G42" s="314"/>
    </row>
    <row r="43" spans="1:8" ht="18.75" x14ac:dyDescent="0.3">
      <c r="A43" s="309"/>
      <c r="B43" s="669" t="s">
        <v>750</v>
      </c>
      <c r="C43" s="669"/>
      <c r="D43" s="669"/>
      <c r="E43" s="165">
        <v>23</v>
      </c>
      <c r="F43" s="308"/>
      <c r="G43" s="314"/>
    </row>
    <row r="44" spans="1:8" ht="18.75" x14ac:dyDescent="0.3">
      <c r="A44" s="309"/>
      <c r="B44" s="670"/>
      <c r="C44" s="671"/>
      <c r="D44" s="671"/>
      <c r="E44" s="325"/>
      <c r="F44" s="319"/>
      <c r="G44" s="314"/>
    </row>
    <row r="45" spans="1:8" ht="30" customHeight="1" x14ac:dyDescent="0.3">
      <c r="A45" s="309"/>
      <c r="B45" s="326" t="s">
        <v>749</v>
      </c>
      <c r="C45" s="308"/>
      <c r="D45" s="320" t="s">
        <v>1147</v>
      </c>
      <c r="E45" s="165" t="s">
        <v>157</v>
      </c>
      <c r="F45" s="308"/>
      <c r="G45" s="314"/>
      <c r="H45" t="str" cm="1">
        <f t="array" ref="H45">_xlfn.IFS($E$45="YES", "Yes", $E$45="yes", "Yes", $E$45="Yes", "Yes", $E$45="NO", "No", $E$45="no", "No", $E$45="No", "No")</f>
        <v>No</v>
      </c>
    </row>
    <row r="46" spans="1:8" ht="30" customHeight="1" x14ac:dyDescent="0.3">
      <c r="A46" s="309"/>
      <c r="B46" s="672" t="s">
        <v>748</v>
      </c>
      <c r="C46" s="672"/>
      <c r="D46" s="320" t="s">
        <v>1147</v>
      </c>
      <c r="E46" s="190" t="s">
        <v>603</v>
      </c>
      <c r="F46" s="308"/>
      <c r="G46" s="314"/>
      <c r="H46" t="e" cm="1">
        <f t="array" ref="H46">_xlfn.IFS($E$46="YES", "Yes", $E$46="yes", "Yes", $E$46="Yes", "Yes", $E$46="NO", "No", $E$46="no", "No", $E$46="No", "No")</f>
        <v>#N/A</v>
      </c>
    </row>
    <row r="47" spans="1:8" ht="30" customHeight="1" x14ac:dyDescent="0.3">
      <c r="A47" s="309"/>
      <c r="B47" s="672" t="s">
        <v>747</v>
      </c>
      <c r="C47" s="672"/>
      <c r="D47" s="320" t="s">
        <v>1147</v>
      </c>
      <c r="E47" s="165" t="s">
        <v>603</v>
      </c>
      <c r="F47" s="308"/>
      <c r="G47" s="314"/>
      <c r="H47" t="e" cm="1">
        <f t="array" ref="H47">_xlfn.IFS($E$47="YES", "Yes", $E$47="yes", "Yes", $E$47="Yes", "Yes", $E$47="NO", "No", $E$47="no", "No", $E$47="No", "No")</f>
        <v>#N/A</v>
      </c>
    </row>
    <row r="48" spans="1:8" ht="18.75" x14ac:dyDescent="0.3">
      <c r="A48" s="306"/>
      <c r="B48" s="308"/>
      <c r="C48" s="308"/>
      <c r="D48" s="308"/>
      <c r="E48" s="308"/>
      <c r="F48" s="308"/>
      <c r="G48" s="314"/>
    </row>
    <row r="49" spans="1:7" ht="26.1" customHeight="1" x14ac:dyDescent="0.3">
      <c r="A49" s="309"/>
      <c r="B49" s="307" t="s">
        <v>746</v>
      </c>
      <c r="C49" s="308"/>
      <c r="D49" s="308"/>
      <c r="E49" s="308"/>
      <c r="F49" s="308"/>
      <c r="G49" s="314"/>
    </row>
    <row r="50" spans="1:7" ht="27.95" customHeight="1" x14ac:dyDescent="0.3">
      <c r="A50" s="309" t="s">
        <v>745</v>
      </c>
      <c r="B50" s="307" t="s">
        <v>744</v>
      </c>
      <c r="C50" s="308"/>
      <c r="D50" s="308"/>
      <c r="E50" s="308"/>
      <c r="F50" s="308"/>
      <c r="G50" s="314"/>
    </row>
    <row r="51" spans="1:7" ht="50.1" customHeight="1" x14ac:dyDescent="0.3">
      <c r="A51" s="309"/>
      <c r="B51" s="327" t="s">
        <v>1263</v>
      </c>
      <c r="C51" s="327"/>
      <c r="D51" s="327"/>
      <c r="E51" s="308"/>
      <c r="F51" s="308"/>
      <c r="G51" s="314"/>
    </row>
    <row r="52" spans="1:7" ht="30" customHeight="1" x14ac:dyDescent="0.25">
      <c r="B52" s="327"/>
      <c r="C52" s="327"/>
      <c r="D52" s="327"/>
      <c r="F52" s="441" t="s">
        <v>743</v>
      </c>
      <c r="G52" s="189">
        <v>1</v>
      </c>
    </row>
    <row r="53" spans="1:7" ht="18" x14ac:dyDescent="0.25">
      <c r="B53" s="329"/>
      <c r="C53" s="329"/>
      <c r="D53" s="329"/>
      <c r="F53" s="441" t="s">
        <v>742</v>
      </c>
    </row>
    <row r="54" spans="1:7" ht="18" x14ac:dyDescent="0.25">
      <c r="B54" s="329"/>
      <c r="C54" s="329"/>
      <c r="D54" s="329"/>
      <c r="F54" s="441" t="s">
        <v>741</v>
      </c>
    </row>
    <row r="55" spans="1:7" x14ac:dyDescent="0.25">
      <c r="F55" s="328"/>
    </row>
    <row r="56" spans="1:7" ht="18" x14ac:dyDescent="0.25">
      <c r="B56" s="667"/>
      <c r="C56" s="667"/>
      <c r="D56" s="667"/>
    </row>
    <row r="58" spans="1:7" ht="18" x14ac:dyDescent="0.25">
      <c r="A58" s="306"/>
      <c r="B58" s="308"/>
      <c r="C58" s="308"/>
      <c r="D58" s="308"/>
      <c r="E58" s="308"/>
      <c r="F58" s="308"/>
    </row>
    <row r="59" spans="1:7" ht="18" x14ac:dyDescent="0.25">
      <c r="A59" s="309" t="s">
        <v>740</v>
      </c>
      <c r="B59" s="673" t="s">
        <v>739</v>
      </c>
      <c r="C59" s="673"/>
      <c r="D59" s="673"/>
      <c r="E59" s="673"/>
      <c r="F59" s="671"/>
    </row>
    <row r="60" spans="1:7" x14ac:dyDescent="0.25">
      <c r="F60" s="441" t="s">
        <v>738</v>
      </c>
      <c r="G60" s="189">
        <v>1</v>
      </c>
    </row>
    <row r="61" spans="1:7" ht="30.95" customHeight="1" x14ac:dyDescent="0.25">
      <c r="F61" s="441" t="s">
        <v>737</v>
      </c>
    </row>
    <row r="62" spans="1:7" x14ac:dyDescent="0.25">
      <c r="F62" s="441" t="s">
        <v>736</v>
      </c>
    </row>
    <row r="64" spans="1:7" ht="30.95" customHeight="1" x14ac:dyDescent="0.25">
      <c r="A64" s="331"/>
      <c r="B64" s="332" t="s">
        <v>1340</v>
      </c>
      <c r="C64" s="333"/>
      <c r="D64" s="333"/>
      <c r="E64" s="333"/>
      <c r="F64" s="333"/>
      <c r="G64" s="333"/>
    </row>
    <row r="65" spans="1:11" ht="38.1" customHeight="1" x14ac:dyDescent="0.25">
      <c r="A65" s="334" t="s">
        <v>1341</v>
      </c>
      <c r="B65" s="674" t="s">
        <v>1342</v>
      </c>
      <c r="C65" s="675"/>
      <c r="D65" s="675"/>
      <c r="E65" s="675"/>
      <c r="F65" s="676"/>
      <c r="G65" s="333"/>
    </row>
    <row r="66" spans="1:11" ht="17.100000000000001" customHeight="1" x14ac:dyDescent="0.25">
      <c r="A66" s="305"/>
      <c r="B66" s="677" t="s">
        <v>1343</v>
      </c>
      <c r="C66" s="678"/>
      <c r="D66" s="678"/>
      <c r="E66" s="339"/>
      <c r="F66" s="340"/>
      <c r="G66" s="333"/>
      <c r="H66" s="442" t="b">
        <v>0</v>
      </c>
      <c r="I66" t="str" cm="1">
        <f t="array" ref="I66">_xlfn.IFS(H66=TRUE, "Open admission policy as described above for all students", H66=FALSE, "")</f>
        <v/>
      </c>
      <c r="K66" t="str">
        <f>_xlfn.CONCAT($I$66:$I$70)</f>
        <v/>
      </c>
    </row>
    <row r="67" spans="1:11" ht="17.100000000000001" customHeight="1" x14ac:dyDescent="0.25">
      <c r="A67" s="334"/>
      <c r="B67" s="655" t="s">
        <v>1344</v>
      </c>
      <c r="C67" s="655"/>
      <c r="D67" s="655"/>
      <c r="E67" s="339"/>
      <c r="F67" s="340"/>
      <c r="G67" s="333"/>
      <c r="H67" s="442" t="s">
        <v>603</v>
      </c>
    </row>
    <row r="68" spans="1:11" ht="17.100000000000001" customHeight="1" x14ac:dyDescent="0.25">
      <c r="A68" s="305"/>
      <c r="B68" s="640" t="s">
        <v>1345</v>
      </c>
      <c r="C68" s="640"/>
      <c r="D68" s="640"/>
      <c r="E68" s="339"/>
      <c r="F68" s="340"/>
      <c r="G68" s="333"/>
      <c r="H68" s="442" t="b">
        <v>0</v>
      </c>
      <c r="I68" t="str" cm="1">
        <f t="array" ref="I68">_xlfn.IFS(H68=TRUE, "Open admission policy as described above for most students, but selective admission for out-of-state students", H68=FALSE, "")</f>
        <v/>
      </c>
    </row>
    <row r="69" spans="1:11" ht="17.100000000000001" customHeight="1" x14ac:dyDescent="0.25">
      <c r="A69" s="305"/>
      <c r="B69" s="640" t="s">
        <v>1346</v>
      </c>
      <c r="C69" s="640"/>
      <c r="D69" s="640"/>
      <c r="E69" s="339"/>
      <c r="F69" s="340"/>
      <c r="G69" s="333"/>
      <c r="H69" s="442" t="b">
        <v>0</v>
      </c>
      <c r="I69" t="str" cm="1">
        <f t="array" ref="I69">_xlfn.IFS(H69=TRUE, "Open admission policy as described above for most students, but selective admission to some programs", H69=FALSE, "")</f>
        <v/>
      </c>
    </row>
    <row r="70" spans="1:11" ht="17.100000000000001" customHeight="1" x14ac:dyDescent="0.25">
      <c r="A70" s="305"/>
      <c r="B70" s="342" t="s">
        <v>1347</v>
      </c>
      <c r="C70" s="343"/>
      <c r="D70" s="343"/>
      <c r="E70" s="344"/>
      <c r="F70" s="340"/>
      <c r="G70" s="333"/>
      <c r="H70" s="442" t="b">
        <v>0</v>
      </c>
      <c r="I70" t="str" cm="1">
        <f t="array" ref="I70">_xlfn.IFS(H70=TRUE, "Other", H70=FALSE, "")</f>
        <v/>
      </c>
    </row>
    <row r="71" spans="1:11" ht="24.95" customHeight="1" x14ac:dyDescent="0.25">
      <c r="A71" s="331"/>
      <c r="B71" s="641"/>
      <c r="C71" s="641"/>
      <c r="D71" s="641"/>
      <c r="E71" s="641"/>
      <c r="F71" s="641"/>
      <c r="G71" s="333"/>
    </row>
    <row r="72" spans="1:11" x14ac:dyDescent="0.25">
      <c r="A72" s="331"/>
      <c r="B72" s="333"/>
      <c r="C72" s="333"/>
      <c r="D72" s="333"/>
      <c r="E72" s="333"/>
      <c r="F72" s="333"/>
      <c r="G72" s="333"/>
    </row>
    <row r="73" spans="1:11" ht="45.95" customHeight="1" x14ac:dyDescent="0.25">
      <c r="A73" s="345" t="s">
        <v>1348</v>
      </c>
      <c r="B73" s="642" t="s">
        <v>1537</v>
      </c>
      <c r="C73" s="642"/>
      <c r="D73" s="642"/>
      <c r="E73" s="642"/>
      <c r="F73" s="643"/>
      <c r="G73" s="346"/>
    </row>
    <row r="74" spans="1:11" ht="20.100000000000001" customHeight="1" x14ac:dyDescent="0.25">
      <c r="A74" s="347"/>
      <c r="B74" s="348"/>
      <c r="C74" s="349" t="s">
        <v>1349</v>
      </c>
      <c r="D74" s="349" t="s">
        <v>1350</v>
      </c>
      <c r="E74" s="349" t="s">
        <v>1351</v>
      </c>
      <c r="F74" s="349" t="s">
        <v>1352</v>
      </c>
      <c r="G74" s="346"/>
    </row>
    <row r="75" spans="1:11" ht="20.100000000000001" customHeight="1" x14ac:dyDescent="0.25">
      <c r="A75" s="347"/>
      <c r="B75" s="350" t="s">
        <v>1353</v>
      </c>
      <c r="C75" s="350"/>
      <c r="D75" s="350"/>
      <c r="E75" s="350"/>
      <c r="F75" s="350"/>
      <c r="G75" s="346"/>
    </row>
    <row r="76" spans="1:11" ht="20.100000000000001" customHeight="1" x14ac:dyDescent="0.25">
      <c r="A76" s="347"/>
      <c r="B76" s="351" t="s">
        <v>1354</v>
      </c>
      <c r="C76" s="352"/>
      <c r="D76" s="352"/>
      <c r="E76" s="352"/>
      <c r="F76" s="352"/>
      <c r="G76" s="346"/>
      <c r="H76" s="163">
        <v>1</v>
      </c>
      <c r="I76" t="str" cm="1">
        <f t="array" ref="I76">_xlfn.IFS($H$76=1,"Very Important",$H$76=2,"Important",$H$76=3,"Considered",$H$76=4,"Not Considered")</f>
        <v>Very Important</v>
      </c>
    </row>
    <row r="77" spans="1:11" ht="20.100000000000001" customHeight="1" x14ac:dyDescent="0.25">
      <c r="A77" s="347"/>
      <c r="B77" s="353" t="s">
        <v>1355</v>
      </c>
      <c r="C77" s="352"/>
      <c r="D77" s="352"/>
      <c r="E77" s="352"/>
      <c r="F77" s="352"/>
      <c r="G77" s="346"/>
      <c r="H77" s="163">
        <v>2</v>
      </c>
      <c r="I77" t="str" cm="1">
        <f t="array" ref="I77">_xlfn.IFS($H$77=1,"Very Important",$H$77=2,"Important",$H$77=3,"Considered",$H$77=4,"Not Considered")</f>
        <v>Important</v>
      </c>
    </row>
    <row r="78" spans="1:11" ht="20.100000000000001" customHeight="1" x14ac:dyDescent="0.25">
      <c r="A78" s="347"/>
      <c r="B78" s="354" t="s">
        <v>1356</v>
      </c>
      <c r="C78" s="352"/>
      <c r="D78" s="352"/>
      <c r="E78" s="352"/>
      <c r="F78" s="352"/>
      <c r="G78" s="346"/>
      <c r="H78" s="163">
        <v>1</v>
      </c>
      <c r="I78" t="str" cm="1">
        <f t="array" ref="I78">_xlfn.IFS($H$78=1,"Very Important",$H$78=2,"Important",$H$78=3,"Considered",$H$78=4,"Not Considered")</f>
        <v>Very Important</v>
      </c>
    </row>
    <row r="79" spans="1:11" ht="20.100000000000001" customHeight="1" x14ac:dyDescent="0.25">
      <c r="A79" s="347"/>
      <c r="B79" s="353" t="s">
        <v>504</v>
      </c>
      <c r="C79" s="352"/>
      <c r="D79" s="352"/>
      <c r="E79" s="352"/>
      <c r="F79" s="352"/>
      <c r="G79" s="346"/>
      <c r="H79" s="163">
        <v>2</v>
      </c>
      <c r="I79" t="str" cm="1">
        <f t="array" ref="I79">_xlfn.IFS($H$79=1,"Very Important",$H$79=2,"Important",$H$79=3,"Considered",$H$79=4,"Not Considered")</f>
        <v>Important</v>
      </c>
    </row>
    <row r="80" spans="1:11" ht="20.100000000000001" customHeight="1" x14ac:dyDescent="0.25">
      <c r="A80" s="347"/>
      <c r="B80" s="353" t="s">
        <v>1357</v>
      </c>
      <c r="C80" s="352"/>
      <c r="D80" s="352"/>
      <c r="E80" s="352"/>
      <c r="F80" s="352"/>
      <c r="G80" s="346"/>
      <c r="H80" s="163">
        <v>1</v>
      </c>
      <c r="I80" t="str" cm="1">
        <f t="array" ref="I80">_xlfn.IFS($H$80=1,"Very Important",$H$80=2,"Important",$H$80=3,"Considered",$H$80=4,"Not Considered")</f>
        <v>Very Important</v>
      </c>
    </row>
    <row r="81" spans="1:9" ht="20.100000000000001" customHeight="1" x14ac:dyDescent="0.25">
      <c r="A81" s="347"/>
      <c r="B81" s="353" t="s">
        <v>1358</v>
      </c>
      <c r="C81" s="352"/>
      <c r="D81" s="352"/>
      <c r="E81" s="352"/>
      <c r="F81" s="352"/>
      <c r="G81" s="346"/>
      <c r="H81" s="163">
        <v>1</v>
      </c>
      <c r="I81" t="str" cm="1">
        <f t="array" ref="I81">_xlfn.IFS($H$81=1,"Very Important",$H$81=2,"Important",$H$81=3,"Considered",$H$81=4,"Not Considered")</f>
        <v>Very Important</v>
      </c>
    </row>
    <row r="82" spans="1:9" ht="20.100000000000001" customHeight="1" x14ac:dyDescent="0.25">
      <c r="A82" s="347"/>
      <c r="B82" s="350" t="s">
        <v>1359</v>
      </c>
      <c r="C82" s="350"/>
      <c r="D82" s="350"/>
      <c r="E82" s="350"/>
      <c r="F82" s="350"/>
      <c r="G82" s="346"/>
      <c r="H82" s="163"/>
    </row>
    <row r="83" spans="1:9" ht="20.100000000000001" customHeight="1" x14ac:dyDescent="0.25">
      <c r="A83" s="347"/>
      <c r="B83" s="353" t="s">
        <v>505</v>
      </c>
      <c r="C83" s="352"/>
      <c r="D83" s="352"/>
      <c r="E83" s="352"/>
      <c r="F83" s="352"/>
      <c r="G83" s="346"/>
      <c r="H83" s="163">
        <v>2</v>
      </c>
      <c r="I83" t="str" cm="1">
        <f t="array" ref="I83">_xlfn.IFS($H$83=1,"Very Important",$H$83=2,"Important",$H$83=3,"Considered",$H$83=4,"Not Considered")</f>
        <v>Important</v>
      </c>
    </row>
    <row r="84" spans="1:9" ht="20.100000000000001" customHeight="1" x14ac:dyDescent="0.25">
      <c r="A84" s="347"/>
      <c r="B84" s="353" t="s">
        <v>1360</v>
      </c>
      <c r="C84" s="352"/>
      <c r="D84" s="352"/>
      <c r="E84" s="352"/>
      <c r="F84" s="352"/>
      <c r="G84" s="346"/>
      <c r="H84" s="163">
        <v>2</v>
      </c>
      <c r="I84" t="str" cm="1">
        <f t="array" ref="I84">_xlfn.IFS($H$84=1,"Very Important",$H$84=2,"Important",$H$84=3,"Considered",$H$84=4,"Not Considered")</f>
        <v>Important</v>
      </c>
    </row>
    <row r="85" spans="1:9" ht="20.100000000000001" customHeight="1" x14ac:dyDescent="0.25">
      <c r="A85" s="347"/>
      <c r="B85" s="353" t="s">
        <v>1361</v>
      </c>
      <c r="C85" s="352"/>
      <c r="D85" s="352"/>
      <c r="E85" s="352"/>
      <c r="F85" s="352"/>
      <c r="G85" s="346"/>
      <c r="H85" s="163">
        <v>2</v>
      </c>
      <c r="I85" t="str" cm="1">
        <f t="array" ref="I85">_xlfn.IFS($H$85=1,"Very Important",$H$85=2,"Important",$H$85=3,"Considered",$H$85=4,"Not Considered")</f>
        <v>Important</v>
      </c>
    </row>
    <row r="86" spans="1:9" ht="20.100000000000001" customHeight="1" x14ac:dyDescent="0.25">
      <c r="A86" s="347"/>
      <c r="B86" s="353" t="s">
        <v>1362</v>
      </c>
      <c r="C86" s="352"/>
      <c r="D86" s="352"/>
      <c r="E86" s="352"/>
      <c r="F86" s="352"/>
      <c r="G86" s="346"/>
      <c r="H86" s="163">
        <v>2</v>
      </c>
      <c r="I86" t="str" cm="1">
        <f t="array" ref="I86">_xlfn.IFS($H$86=1,"Very Important",$H$86=2,"Important",$H$86=3,"Considered",$H$86=4,"Not Considered")</f>
        <v>Important</v>
      </c>
    </row>
    <row r="87" spans="1:9" ht="20.100000000000001" customHeight="1" x14ac:dyDescent="0.25">
      <c r="A87" s="347"/>
      <c r="B87" s="353" t="s">
        <v>1363</v>
      </c>
      <c r="C87" s="352"/>
      <c r="D87" s="352"/>
      <c r="E87" s="352"/>
      <c r="F87" s="352"/>
      <c r="G87" s="346"/>
      <c r="H87" s="163">
        <v>3</v>
      </c>
      <c r="I87" t="str" cm="1">
        <f t="array" ref="I87">_xlfn.IFS($H$87=1,"Very Important",$H$87=2,"Important",$H$87=3,"Considered",$H$87=4,"Not Considered")</f>
        <v>Considered</v>
      </c>
    </row>
    <row r="88" spans="1:9" ht="20.100000000000001" customHeight="1" x14ac:dyDescent="0.25">
      <c r="A88" s="347"/>
      <c r="B88" s="353" t="s">
        <v>1364</v>
      </c>
      <c r="C88" s="352"/>
      <c r="D88" s="352"/>
      <c r="E88" s="352"/>
      <c r="F88" s="352"/>
      <c r="G88" s="346"/>
      <c r="H88" s="163">
        <v>3</v>
      </c>
      <c r="I88" t="str" cm="1">
        <f t="array" ref="I88">_xlfn.IFS($H$88=1,"Very Important",$H$88=2,"Important",$H$88=3,"Considered",$H$88=4,"Not Considered")</f>
        <v>Considered</v>
      </c>
    </row>
    <row r="89" spans="1:9" ht="20.100000000000001" customHeight="1" x14ac:dyDescent="0.25">
      <c r="A89" s="347"/>
      <c r="B89" s="353" t="s">
        <v>1365</v>
      </c>
      <c r="C89" s="352"/>
      <c r="D89" s="352"/>
      <c r="E89" s="352"/>
      <c r="F89" s="352"/>
      <c r="G89" s="346"/>
      <c r="H89" s="163">
        <v>3</v>
      </c>
      <c r="I89" t="str" cm="1">
        <f t="array" ref="I89">_xlfn.IFS($H$89=1,"Very Important",$H$89=2,"Important",$H$89=3,"Considered",$H$89=4,"Not Considered")</f>
        <v>Considered</v>
      </c>
    </row>
    <row r="90" spans="1:9" ht="20.100000000000001" customHeight="1" x14ac:dyDescent="0.25">
      <c r="A90" s="347"/>
      <c r="B90" s="353" t="s">
        <v>1366</v>
      </c>
      <c r="C90" s="352"/>
      <c r="D90" s="352"/>
      <c r="E90" s="352"/>
      <c r="F90" s="352"/>
      <c r="G90" s="346"/>
      <c r="H90" s="163">
        <v>3</v>
      </c>
      <c r="I90" t="str" cm="1">
        <f t="array" ref="I90">_xlfn.IFS($H$90=1,"Very Important",$H$90=2,"Important",$H$90=3,"Considered",$H$90=4,"Not Considered")</f>
        <v>Considered</v>
      </c>
    </row>
    <row r="91" spans="1:9" ht="20.100000000000001" customHeight="1" x14ac:dyDescent="0.25">
      <c r="A91" s="347"/>
      <c r="B91" s="355" t="s">
        <v>1367</v>
      </c>
      <c r="C91" s="352"/>
      <c r="D91" s="352"/>
      <c r="E91" s="352"/>
      <c r="F91" s="352"/>
      <c r="G91" s="346"/>
      <c r="H91" s="163">
        <v>4</v>
      </c>
      <c r="I91" t="str" cm="1">
        <f t="array" ref="I91">_xlfn.IFS($H$91=1,"Very Important",$H$91=2,"Important",$H$91=3,"Considered",$H$91=4,"Not Considered")</f>
        <v>Not Considered</v>
      </c>
    </row>
    <row r="92" spans="1:9" ht="20.100000000000001" customHeight="1" x14ac:dyDescent="0.25">
      <c r="A92" s="347"/>
      <c r="B92" s="353" t="s">
        <v>1368</v>
      </c>
      <c r="C92" s="352"/>
      <c r="D92" s="352"/>
      <c r="E92" s="352"/>
      <c r="F92" s="352"/>
      <c r="G92" s="346"/>
      <c r="H92" s="163">
        <v>3</v>
      </c>
      <c r="I92" t="str" cm="1">
        <f t="array" ref="I92">_xlfn.IFS($H$92=1,"Very Important",$H$92=2,"Important",$H$92=3,"Considered",$H$92=4,"Not Considered")</f>
        <v>Considered</v>
      </c>
    </row>
    <row r="93" spans="1:9" ht="20.100000000000001" customHeight="1" x14ac:dyDescent="0.25">
      <c r="A93" s="347"/>
      <c r="B93" s="353" t="s">
        <v>1369</v>
      </c>
      <c r="C93" s="352"/>
      <c r="D93" s="352"/>
      <c r="E93" s="352"/>
      <c r="F93" s="352"/>
      <c r="G93" s="346"/>
      <c r="H93" s="163">
        <v>3</v>
      </c>
      <c r="I93" t="str" cm="1">
        <f t="array" ref="I93">_xlfn.IFS($H$93=1,"Very Important",$H$93=2,"Important",$H$93=3,"Considered",$H$93=4,"Not Considered")</f>
        <v>Considered</v>
      </c>
    </row>
    <row r="94" spans="1:9" ht="20.100000000000001" customHeight="1" x14ac:dyDescent="0.25">
      <c r="A94" s="347"/>
      <c r="B94" s="353" t="s">
        <v>1370</v>
      </c>
      <c r="C94" s="352"/>
      <c r="D94" s="352"/>
      <c r="E94" s="352"/>
      <c r="F94" s="352"/>
      <c r="G94" s="346"/>
      <c r="H94" s="163">
        <v>3</v>
      </c>
      <c r="I94" t="str" cm="1">
        <f t="array" ref="I94">_xlfn.IFS($H$94=1,"Very Important",$H$94=2,"Important",$H$94=3,"Considered",$H$94=4,"Not Considered")</f>
        <v>Considered</v>
      </c>
    </row>
    <row r="95" spans="1:9" ht="20.100000000000001" customHeight="1" x14ac:dyDescent="0.25">
      <c r="A95" s="347"/>
      <c r="B95" s="353" t="s">
        <v>1371</v>
      </c>
      <c r="C95" s="352"/>
      <c r="D95" s="352"/>
      <c r="E95" s="352"/>
      <c r="F95" s="352"/>
      <c r="G95" s="346"/>
      <c r="H95" s="163">
        <v>2</v>
      </c>
      <c r="I95" t="str" cm="1">
        <f t="array" ref="I95">_xlfn.IFS($H$95=1,"Very Important",$H$95=2,"Important",$H$95=3,"Considered",$H$95=4,"Not Considered")</f>
        <v>Important</v>
      </c>
    </row>
    <row r="96" spans="1:9" ht="17.100000000000001" customHeight="1" x14ac:dyDescent="0.25">
      <c r="A96" s="347"/>
      <c r="B96" s="356"/>
      <c r="C96" s="344"/>
      <c r="D96" s="344"/>
      <c r="E96" s="344"/>
      <c r="F96" s="344"/>
      <c r="G96" s="346"/>
    </row>
    <row r="97" spans="1:21" ht="17.100000000000001" customHeight="1" x14ac:dyDescent="0.25">
      <c r="A97" s="347"/>
      <c r="B97" s="653" t="s">
        <v>1538</v>
      </c>
      <c r="C97" s="621"/>
      <c r="D97" s="621"/>
      <c r="E97" s="344"/>
      <c r="F97" s="344"/>
      <c r="G97" s="346"/>
    </row>
    <row r="98" spans="1:21" ht="17.100000000000001" customHeight="1" x14ac:dyDescent="0.25">
      <c r="A98" s="347"/>
      <c r="B98" s="679"/>
      <c r="C98" s="680"/>
      <c r="D98" s="681"/>
      <c r="E98" s="344"/>
      <c r="F98" s="344"/>
      <c r="G98" s="346"/>
    </row>
    <row r="99" spans="1:21" ht="17.100000000000001" customHeight="1" x14ac:dyDescent="0.25">
      <c r="A99" s="347"/>
      <c r="B99" s="682"/>
      <c r="C99" s="683"/>
      <c r="D99" s="684"/>
      <c r="E99" s="344"/>
      <c r="F99" s="344"/>
      <c r="G99" s="346"/>
    </row>
    <row r="100" spans="1:21" ht="17.100000000000001" customHeight="1" x14ac:dyDescent="0.25">
      <c r="A100" s="347"/>
      <c r="B100" s="356"/>
      <c r="C100" s="356"/>
      <c r="D100" s="356"/>
      <c r="E100" s="344"/>
      <c r="F100" s="344"/>
      <c r="G100" s="346"/>
    </row>
    <row r="101" spans="1:21" x14ac:dyDescent="0.25">
      <c r="A101" s="331"/>
      <c r="B101" s="333"/>
      <c r="C101" s="333"/>
      <c r="D101" s="333"/>
      <c r="E101" s="333"/>
      <c r="F101" s="333"/>
      <c r="G101" s="333"/>
    </row>
    <row r="102" spans="1:21" ht="18" x14ac:dyDescent="0.25">
      <c r="A102" s="331"/>
      <c r="B102" s="307" t="s">
        <v>1372</v>
      </c>
      <c r="C102" s="333"/>
      <c r="D102" s="333"/>
      <c r="E102" s="333"/>
      <c r="F102" s="333"/>
      <c r="G102" s="333"/>
    </row>
    <row r="103" spans="1:21" ht="18" x14ac:dyDescent="0.25">
      <c r="A103" s="334"/>
      <c r="B103" s="318" t="s">
        <v>1373</v>
      </c>
      <c r="C103" s="358"/>
      <c r="D103" s="358"/>
      <c r="E103" s="358"/>
      <c r="F103" s="358"/>
      <c r="G103" s="358"/>
    </row>
    <row r="104" spans="1:21" ht="24.95" customHeight="1" x14ac:dyDescent="0.25">
      <c r="A104" s="334"/>
      <c r="B104" s="644"/>
      <c r="C104" s="645"/>
      <c r="D104" s="646"/>
      <c r="E104" s="359" t="s">
        <v>1147</v>
      </c>
      <c r="F104" s="344"/>
      <c r="G104" s="358"/>
    </row>
    <row r="105" spans="1:21" ht="45" customHeight="1" x14ac:dyDescent="0.25">
      <c r="A105" s="334"/>
      <c r="B105" s="653" t="s">
        <v>1394</v>
      </c>
      <c r="C105" s="621"/>
      <c r="D105" s="621"/>
      <c r="E105" s="443" t="s">
        <v>1985</v>
      </c>
      <c r="F105" s="360"/>
      <c r="G105" s="358"/>
      <c r="H105" t="str" cm="1">
        <f t="array" ref="H105">_xlfn.IFS($E$105="YES", "Yes", $E$105="yes", "Yes", $E$105="Yes", "Yes", $E$105="NO", "No", $E$105="no", "No", $E$105="No", "No")</f>
        <v>Yes</v>
      </c>
    </row>
    <row r="106" spans="1:21" x14ac:dyDescent="0.25">
      <c r="A106" s="334"/>
      <c r="B106" s="361"/>
      <c r="C106" s="362"/>
      <c r="D106" s="362"/>
      <c r="E106" s="363"/>
      <c r="F106" s="364"/>
      <c r="G106" s="358"/>
    </row>
    <row r="107" spans="1:21" ht="27" customHeight="1" x14ac:dyDescent="0.25">
      <c r="A107" s="347" t="s">
        <v>1374</v>
      </c>
      <c r="B107" s="686" t="s">
        <v>1391</v>
      </c>
      <c r="C107" s="687"/>
      <c r="D107" s="687"/>
      <c r="E107" s="687"/>
      <c r="F107" s="688"/>
      <c r="G107" s="365"/>
    </row>
    <row r="108" spans="1:21" ht="17.100000000000001" customHeight="1" x14ac:dyDescent="0.25">
      <c r="A108" s="347"/>
      <c r="B108" s="689"/>
      <c r="C108" s="691" t="s">
        <v>1375</v>
      </c>
      <c r="D108" s="692"/>
      <c r="E108" s="692"/>
      <c r="F108" s="693"/>
      <c r="G108" s="694"/>
    </row>
    <row r="109" spans="1:21" ht="17.100000000000001" customHeight="1" x14ac:dyDescent="0.25">
      <c r="A109" s="347"/>
      <c r="B109" s="690"/>
      <c r="C109" s="366" t="s">
        <v>738</v>
      </c>
      <c r="D109" s="366" t="s">
        <v>737</v>
      </c>
      <c r="E109" s="366" t="s">
        <v>1376</v>
      </c>
      <c r="F109" s="367" t="s">
        <v>1377</v>
      </c>
      <c r="G109" s="366" t="s">
        <v>1352</v>
      </c>
    </row>
    <row r="110" spans="1:21" ht="17.100000000000001" customHeight="1" x14ac:dyDescent="0.25">
      <c r="A110" s="347"/>
      <c r="B110" s="368" t="s">
        <v>1378</v>
      </c>
      <c r="C110" s="369"/>
      <c r="D110" s="369"/>
      <c r="E110" s="369"/>
      <c r="F110" s="369"/>
      <c r="G110" s="370"/>
      <c r="J110" s="163" t="b">
        <v>0</v>
      </c>
      <c r="K110" s="163" t="b">
        <v>0</v>
      </c>
      <c r="L110" s="163" t="b">
        <v>0</v>
      </c>
      <c r="M110" s="163" t="b">
        <v>1</v>
      </c>
      <c r="N110" s="163" t="b">
        <v>0</v>
      </c>
      <c r="O110" t="str" cm="1">
        <f t="array" ref="O110">_xlfn.IFS($J$110=TRUE, "Require|", $J$110=FALSE, "")</f>
        <v/>
      </c>
      <c r="P110" t="str" cm="1">
        <f t="array" ref="P110">_xlfn.IFS($K$110=TRUE, "Recommend|", $K$110=FALSE, "")</f>
        <v/>
      </c>
      <c r="Q110" t="str" cm="1">
        <f t="array" ref="Q110">_xlfn.IFS($L$110=TRUE, "Require for Some|", $L$110=FALSE, "")</f>
        <v/>
      </c>
      <c r="R110" t="str" cm="1">
        <f t="array" ref="R110">_xlfn.IFS($M$110=TRUE, "Consider if Submitted|", $M$110=FALSE, "")</f>
        <v>Consider if Submitted|</v>
      </c>
      <c r="S110" t="str" cm="1">
        <f t="array" ref="S110">_xlfn.IFS($N$110=TRUE, "Not Considered", $N$110=FALSE, "")</f>
        <v/>
      </c>
      <c r="U110" t="str">
        <f>_xlfn.CONCAT($O$110:$S$110)</f>
        <v>Consider if Submitted|</v>
      </c>
    </row>
    <row r="111" spans="1:21" ht="17.100000000000001" customHeight="1" x14ac:dyDescent="0.25">
      <c r="A111" s="347"/>
      <c r="B111" s="368" t="s">
        <v>1379</v>
      </c>
      <c r="C111" s="369"/>
      <c r="D111" s="369"/>
      <c r="E111" s="369"/>
      <c r="F111" s="369"/>
      <c r="G111" s="370"/>
      <c r="J111" s="163" t="b">
        <v>0</v>
      </c>
      <c r="K111" s="163" t="b">
        <v>0</v>
      </c>
      <c r="L111" s="163" t="b">
        <v>0</v>
      </c>
      <c r="M111" s="163" t="b">
        <v>0</v>
      </c>
      <c r="N111" s="163" t="b">
        <v>0</v>
      </c>
      <c r="O111" t="str" cm="1">
        <f t="array" ref="O111">_xlfn.IFS($J$111=TRUE, "Require|", $J$111=FALSE, "")</f>
        <v/>
      </c>
      <c r="P111" t="str" cm="1">
        <f t="array" ref="P111">_xlfn.IFS($K$111=TRUE, "Recommend|", $K$111=FALSE, "")</f>
        <v/>
      </c>
      <c r="Q111" t="str" cm="1">
        <f t="array" ref="Q111">_xlfn.IFS($L$111=TRUE, "Require for Some|", $L$111=FALSE, "")</f>
        <v/>
      </c>
      <c r="R111" t="str" cm="1">
        <f t="array" ref="R111">_xlfn.IFS($M$111=TRUE, "Consider if Submitted|", $M$111=FALSE, "")</f>
        <v/>
      </c>
      <c r="S111" t="str" cm="1">
        <f t="array" ref="S111">_xlfn.IFS($N$111=TRUE, "Not Considered", $N$111=FALSE, "")</f>
        <v/>
      </c>
      <c r="U111" t="str">
        <f>_xlfn.CONCAT($O$111:$S$111)</f>
        <v/>
      </c>
    </row>
    <row r="112" spans="1:21" ht="17.100000000000001" customHeight="1" x14ac:dyDescent="0.25">
      <c r="A112" s="347"/>
      <c r="B112" s="368" t="s">
        <v>1380</v>
      </c>
      <c r="C112" s="369"/>
      <c r="D112" s="369"/>
      <c r="E112" s="369"/>
      <c r="F112" s="369"/>
      <c r="G112" s="370"/>
      <c r="J112" s="163" t="b">
        <v>0</v>
      </c>
      <c r="K112" s="163" t="b">
        <v>0</v>
      </c>
      <c r="L112" s="163" t="b">
        <v>0</v>
      </c>
      <c r="M112" s="163" t="b">
        <v>0</v>
      </c>
      <c r="N112" s="163" t="b">
        <v>0</v>
      </c>
      <c r="O112" t="str" cm="1">
        <f t="array" ref="O112">_xlfn.IFS($J$112=TRUE, "Require|", $J$112=FALSE, "")</f>
        <v/>
      </c>
      <c r="P112" t="str" cm="1">
        <f t="array" ref="P112">_xlfn.IFS($K$112=TRUE, "Recommend|", $K$112=FALSE, "")</f>
        <v/>
      </c>
      <c r="Q112" t="str" cm="1">
        <f t="array" ref="Q112">_xlfn.IFS($L$112=TRUE, "Require for Some|", $L$112=FALSE, "")</f>
        <v/>
      </c>
      <c r="R112" t="str" cm="1">
        <f t="array" ref="R112">_xlfn.IFS($M$112=TRUE, "Consider if Submitted|", $M$112=FALSE, "")</f>
        <v/>
      </c>
      <c r="S112" t="str" cm="1">
        <f t="array" ref="S112">_xlfn.IFS($N$112=TRUE, "Not Considered", $N$112=FALSE, "")</f>
        <v/>
      </c>
      <c r="U112" t="str">
        <f>_xlfn.CONCAT($O$112:$S$112)</f>
        <v/>
      </c>
    </row>
    <row r="113" spans="1:21" ht="17.100000000000001" customHeight="1" x14ac:dyDescent="0.25">
      <c r="A113" s="347"/>
      <c r="B113" s="371" t="s">
        <v>1381</v>
      </c>
      <c r="C113" s="369"/>
      <c r="D113" s="369"/>
      <c r="E113" s="369"/>
      <c r="F113" s="369"/>
      <c r="G113" s="370"/>
      <c r="J113" s="163" t="b">
        <v>0</v>
      </c>
      <c r="K113" s="163" t="b">
        <v>0</v>
      </c>
      <c r="L113" s="163" t="b">
        <v>0</v>
      </c>
      <c r="M113" s="163" t="b">
        <v>0</v>
      </c>
      <c r="N113" s="163" t="b">
        <v>0</v>
      </c>
      <c r="O113" t="str" cm="1">
        <f t="array" ref="O113">_xlfn.IFS($J$113=TRUE, "Require|", $J$113=FALSE, "")</f>
        <v/>
      </c>
      <c r="P113" t="str" cm="1">
        <f t="array" ref="P113">_xlfn.IFS($K$113=TRUE, "Recommend|", $K$113=FALSE, "")</f>
        <v/>
      </c>
      <c r="Q113" t="str" cm="1">
        <f t="array" ref="Q113">_xlfn.IFS($L$113=TRUE, "Require for Some|", $L$113=FALSE, "")</f>
        <v/>
      </c>
      <c r="R113" t="str" cm="1">
        <f t="array" ref="R113">_xlfn.IFS($M$113=TRUE, "Consider if Submitted|", $M$113=FALSE, "")</f>
        <v/>
      </c>
      <c r="S113" t="str" cm="1">
        <f t="array" ref="S113">_xlfn.IFS($N$113=TRUE, "Not Considered", $N$113=FALSE, "")</f>
        <v/>
      </c>
      <c r="U113" t="str">
        <f>_xlfn.CONCAT($O$113:$S$113)</f>
        <v/>
      </c>
    </row>
    <row r="114" spans="1:21" ht="17.100000000000001" customHeight="1" x14ac:dyDescent="0.25">
      <c r="A114" s="347"/>
      <c r="B114" s="368" t="s">
        <v>1382</v>
      </c>
      <c r="C114" s="369"/>
      <c r="D114" s="369"/>
      <c r="E114" s="369"/>
      <c r="F114" s="369"/>
      <c r="G114" s="370"/>
      <c r="J114" s="163" t="b">
        <v>0</v>
      </c>
      <c r="K114" s="163" t="b">
        <v>0</v>
      </c>
      <c r="L114" s="163" t="b">
        <v>0</v>
      </c>
      <c r="M114" s="163" t="b">
        <v>0</v>
      </c>
      <c r="N114" s="163" t="b">
        <v>1</v>
      </c>
      <c r="O114" t="str" cm="1">
        <f t="array" ref="O114">_xlfn.IFS($J$114=TRUE, "Require|", $J$114=FALSE, "")</f>
        <v/>
      </c>
      <c r="P114" t="str" cm="1">
        <f t="array" ref="P114">_xlfn.IFS($K$114=TRUE, "Recommend|", $K$114=FALSE, "")</f>
        <v/>
      </c>
      <c r="Q114" t="str" cm="1">
        <f t="array" ref="Q114">_xlfn.IFS($L$114=TRUE, "Require for Some|", $L$114=FALSE, "")</f>
        <v/>
      </c>
      <c r="R114" t="str" cm="1">
        <f t="array" ref="R114">_xlfn.IFS($M$114=TRUE, "Consider if Submitted|", $M$114=FALSE, "")</f>
        <v/>
      </c>
      <c r="S114" t="str" cm="1">
        <f t="array" ref="S114">_xlfn.IFS($N$114=TRUE, "Not Considered", $N$114=FALSE, "")</f>
        <v>Not Considered</v>
      </c>
      <c r="U114" t="str">
        <f>_xlfn.CONCAT($O$114:$S$114)</f>
        <v>Not Considered</v>
      </c>
    </row>
    <row r="115" spans="1:21" x14ac:dyDescent="0.25">
      <c r="A115" s="347"/>
      <c r="B115" s="372"/>
      <c r="C115" s="373"/>
      <c r="D115" s="373"/>
      <c r="E115" s="373"/>
      <c r="F115" s="373"/>
      <c r="G115" s="365"/>
    </row>
    <row r="116" spans="1:21" x14ac:dyDescent="0.25">
      <c r="A116" s="336" t="s">
        <v>1383</v>
      </c>
      <c r="B116" s="674" t="s">
        <v>1392</v>
      </c>
      <c r="C116" s="674"/>
      <c r="D116" s="674"/>
      <c r="E116" s="674"/>
      <c r="F116" s="674"/>
      <c r="G116" s="674"/>
    </row>
    <row r="117" spans="1:21" x14ac:dyDescent="0.25">
      <c r="A117" s="336"/>
      <c r="B117" s="335"/>
      <c r="C117" s="335"/>
      <c r="D117" s="335"/>
      <c r="E117" s="335"/>
      <c r="F117" s="335"/>
      <c r="G117" s="335"/>
    </row>
    <row r="118" spans="1:21" x14ac:dyDescent="0.25">
      <c r="A118" s="369"/>
      <c r="B118" s="612" t="s">
        <v>1384</v>
      </c>
      <c r="C118" s="612"/>
      <c r="D118" s="612"/>
      <c r="E118" s="374"/>
      <c r="F118" s="335"/>
      <c r="G118" s="335"/>
    </row>
    <row r="119" spans="1:21" x14ac:dyDescent="0.25">
      <c r="A119" s="369"/>
      <c r="B119" s="612" t="s">
        <v>1385</v>
      </c>
      <c r="C119" s="612"/>
      <c r="D119" s="612"/>
      <c r="E119" s="374"/>
      <c r="F119" s="335"/>
      <c r="G119" s="335"/>
      <c r="I119" s="163">
        <v>3</v>
      </c>
      <c r="J119" t="str" cm="1">
        <f t="array" ref="J119">_xlfn.IFS(I119=1, "ACT with writing required", I119=2, "ACT with writing recommended", I119=3, "ACT with or without writing accepted")</f>
        <v>ACT with or without writing accepted</v>
      </c>
      <c r="Q119" s="612" t="s">
        <v>1384</v>
      </c>
      <c r="R119" s="612"/>
      <c r="S119" s="612"/>
    </row>
    <row r="120" spans="1:21" x14ac:dyDescent="0.25">
      <c r="A120" s="369"/>
      <c r="B120" s="612" t="s">
        <v>1386</v>
      </c>
      <c r="C120" s="612"/>
      <c r="D120" s="612"/>
      <c r="E120" s="374"/>
      <c r="F120" s="335"/>
      <c r="G120" s="335"/>
      <c r="Q120" s="612" t="s">
        <v>1385</v>
      </c>
      <c r="R120" s="612"/>
      <c r="S120" s="612"/>
    </row>
    <row r="121" spans="1:21" x14ac:dyDescent="0.25">
      <c r="A121" s="336"/>
      <c r="B121" s="375"/>
      <c r="C121" s="375"/>
      <c r="D121" s="375"/>
      <c r="E121" s="335"/>
      <c r="F121" s="335"/>
      <c r="G121" s="365"/>
      <c r="Q121" s="612" t="s">
        <v>1386</v>
      </c>
      <c r="R121" s="612"/>
      <c r="S121" s="612"/>
    </row>
    <row r="122" spans="1:21" x14ac:dyDescent="0.25">
      <c r="A122" s="336" t="s">
        <v>1383</v>
      </c>
      <c r="B122" s="685" t="s">
        <v>1393</v>
      </c>
      <c r="C122" s="685"/>
      <c r="D122" s="685"/>
      <c r="E122" s="685"/>
      <c r="F122" s="685"/>
      <c r="G122" s="685"/>
    </row>
    <row r="123" spans="1:21" x14ac:dyDescent="0.25">
      <c r="A123" s="336"/>
      <c r="B123" s="685"/>
      <c r="C123" s="685"/>
      <c r="D123" s="685"/>
      <c r="E123" s="685"/>
      <c r="F123" s="685"/>
      <c r="G123" s="685"/>
    </row>
    <row r="124" spans="1:21" x14ac:dyDescent="0.25">
      <c r="A124" s="336"/>
      <c r="B124" s="685"/>
      <c r="C124" s="685"/>
      <c r="D124" s="685"/>
      <c r="E124" s="685"/>
      <c r="F124" s="685"/>
      <c r="G124" s="685"/>
    </row>
    <row r="125" spans="1:21" x14ac:dyDescent="0.25">
      <c r="A125" s="336"/>
      <c r="B125" s="376"/>
      <c r="C125" s="376"/>
      <c r="D125" s="376"/>
      <c r="E125" s="376"/>
      <c r="F125" s="376"/>
      <c r="G125" s="376"/>
    </row>
    <row r="126" spans="1:21" x14ac:dyDescent="0.25">
      <c r="A126" s="369"/>
      <c r="B126" s="611" t="s">
        <v>1387</v>
      </c>
      <c r="C126" s="611"/>
      <c r="D126" s="611"/>
      <c r="E126" s="374"/>
      <c r="F126" s="335"/>
      <c r="G126" s="365"/>
      <c r="I126" s="163">
        <v>3</v>
      </c>
      <c r="J126" t="str" cm="1">
        <f t="array" ref="J126">_xlfn.IFS($I$126=1, "SAT with Essay component required", $I$126=2, "SAT with ESSAY component recommended", $I$126=3, "SAT with or without Essay component accepted")</f>
        <v>SAT with or without Essay component accepted</v>
      </c>
      <c r="Q126" s="611" t="s">
        <v>1387</v>
      </c>
      <c r="R126" s="611"/>
      <c r="S126" s="611"/>
    </row>
    <row r="127" spans="1:21" x14ac:dyDescent="0.25">
      <c r="A127" s="369"/>
      <c r="B127" s="611" t="s">
        <v>1388</v>
      </c>
      <c r="C127" s="611"/>
      <c r="D127" s="611"/>
      <c r="E127" s="374"/>
      <c r="F127" s="335"/>
      <c r="G127" s="365"/>
      <c r="Q127" s="611" t="s">
        <v>1388</v>
      </c>
      <c r="R127" s="611"/>
      <c r="S127" s="611"/>
    </row>
    <row r="128" spans="1:21" x14ac:dyDescent="0.25">
      <c r="A128" s="369"/>
      <c r="B128" s="611" t="s">
        <v>1389</v>
      </c>
      <c r="C128" s="611"/>
      <c r="D128" s="611"/>
      <c r="E128" s="374"/>
      <c r="F128" s="335"/>
      <c r="G128" s="365"/>
      <c r="Q128" s="611" t="s">
        <v>1389</v>
      </c>
      <c r="R128" s="611"/>
      <c r="S128" s="611"/>
    </row>
    <row r="129" spans="1:9" x14ac:dyDescent="0.25">
      <c r="A129" s="378"/>
      <c r="B129" s="361"/>
      <c r="C129" s="361"/>
      <c r="D129" s="361"/>
      <c r="E129" s="379"/>
      <c r="F129" s="379"/>
      <c r="G129" s="380"/>
    </row>
    <row r="130" spans="1:9" s="314" customFormat="1" ht="30" customHeight="1" x14ac:dyDescent="0.3">
      <c r="A130" s="330" t="s">
        <v>735</v>
      </c>
      <c r="B130" s="668" t="s">
        <v>734</v>
      </c>
      <c r="C130" s="668"/>
      <c r="D130" s="668"/>
      <c r="E130" s="668"/>
      <c r="F130" s="668"/>
      <c r="G130" s="668"/>
    </row>
    <row r="131" spans="1:9" s="314" customFormat="1" ht="30" customHeight="1" x14ac:dyDescent="0.3">
      <c r="A131" s="330"/>
      <c r="B131" s="381"/>
      <c r="C131" s="382" t="s">
        <v>733</v>
      </c>
      <c r="D131" s="382" t="s">
        <v>732</v>
      </c>
      <c r="E131" s="383"/>
      <c r="F131" s="383"/>
      <c r="G131" s="381"/>
    </row>
    <row r="132" spans="1:9" s="314" customFormat="1" ht="30" customHeight="1" x14ac:dyDescent="0.3">
      <c r="A132" s="330"/>
      <c r="B132" s="384" t="s">
        <v>731</v>
      </c>
      <c r="C132" s="313"/>
      <c r="D132" s="313"/>
      <c r="E132" s="385"/>
      <c r="F132" s="444" t="b">
        <v>0</v>
      </c>
      <c r="G132" s="445" t="b">
        <v>0</v>
      </c>
      <c r="H132" s="314" t="str">
        <f>IF(F132=TRUE, "|For admission","|")</f>
        <v>|</v>
      </c>
      <c r="I132" s="314" t="str">
        <f>IF(G132=TRUE, "|For admission","|")</f>
        <v>|</v>
      </c>
    </row>
    <row r="133" spans="1:9" s="314" customFormat="1" ht="30" customHeight="1" x14ac:dyDescent="0.3">
      <c r="A133" s="330"/>
      <c r="B133" s="384" t="s">
        <v>730</v>
      </c>
      <c r="C133" s="313"/>
      <c r="D133" s="313"/>
      <c r="E133" s="385"/>
      <c r="F133" s="444" t="b">
        <v>0</v>
      </c>
      <c r="G133" s="445" t="b">
        <v>0</v>
      </c>
      <c r="H133" s="314" t="str">
        <f>IF(F133=TRUE, "|For placement","|")</f>
        <v>|</v>
      </c>
      <c r="I133" s="314" t="str">
        <f>IF(G133=TRUE, "|For placement","|")</f>
        <v>|</v>
      </c>
    </row>
    <row r="134" spans="1:9" s="314" customFormat="1" ht="30" customHeight="1" x14ac:dyDescent="0.3">
      <c r="A134" s="330"/>
      <c r="B134" s="384" t="s">
        <v>729</v>
      </c>
      <c r="C134" s="313"/>
      <c r="D134" s="313"/>
      <c r="E134" s="385"/>
      <c r="F134" s="444" t="b">
        <v>0</v>
      </c>
      <c r="G134" s="445" t="b">
        <v>0</v>
      </c>
      <c r="H134" s="314" t="str">
        <f>IF(F134=TRUE, "|For advising","|")</f>
        <v>|</v>
      </c>
      <c r="I134" s="314" t="str">
        <f>IF(G134=TRUE, "|For advising","|")</f>
        <v>|</v>
      </c>
    </row>
    <row r="135" spans="1:9" s="314" customFormat="1" ht="30" customHeight="1" x14ac:dyDescent="0.3">
      <c r="A135" s="330"/>
      <c r="B135" s="316" t="s">
        <v>728</v>
      </c>
      <c r="C135" s="313"/>
      <c r="D135" s="386"/>
      <c r="E135" s="385"/>
      <c r="F135" s="444" t="b">
        <v>0</v>
      </c>
      <c r="G135" s="445" t="b">
        <v>0</v>
      </c>
      <c r="H135" s="314" t="str">
        <f>IF(F135=TRUE, "|In place of an application essay","|")</f>
        <v>|</v>
      </c>
      <c r="I135" s="314" t="str">
        <f>IF(G135=TRUE, "|In place of an application essay","|")</f>
        <v>|</v>
      </c>
    </row>
    <row r="136" spans="1:9" s="314" customFormat="1" ht="30" customHeight="1" x14ac:dyDescent="0.3">
      <c r="A136" s="330"/>
      <c r="B136" s="387" t="s">
        <v>727</v>
      </c>
      <c r="C136" s="313"/>
      <c r="D136" s="313"/>
      <c r="E136" s="385"/>
      <c r="F136" s="444" t="b">
        <v>0</v>
      </c>
      <c r="G136" s="445" t="b">
        <v>0</v>
      </c>
      <c r="H136" s="314" t="str">
        <f>IF(F136=TRUE, "|As a validity check on the application process","|")</f>
        <v>|</v>
      </c>
      <c r="I136" s="314" t="str">
        <f>IF(G136=TRUE, "|As a validity check on the application process","|")</f>
        <v>|</v>
      </c>
    </row>
    <row r="137" spans="1:9" s="314" customFormat="1" ht="30" customHeight="1" x14ac:dyDescent="0.3">
      <c r="A137" s="330"/>
      <c r="B137" s="316" t="s">
        <v>726</v>
      </c>
      <c r="C137" s="313"/>
      <c r="D137" s="313"/>
      <c r="E137" s="385"/>
      <c r="F137" s="444" t="b">
        <v>0</v>
      </c>
      <c r="G137" s="445" t="b">
        <v>0</v>
      </c>
      <c r="H137" s="314" t="str">
        <f>IF(F137=TRUE, "|No college policy as of now","|")</f>
        <v>|</v>
      </c>
      <c r="I137" s="314" t="str">
        <f>IF(G137=TRUE, "|No college policy as of now","|")</f>
        <v>|</v>
      </c>
    </row>
    <row r="138" spans="1:9" s="314" customFormat="1" ht="30" customHeight="1" x14ac:dyDescent="0.3">
      <c r="A138" s="330"/>
      <c r="B138" s="316" t="s">
        <v>725</v>
      </c>
      <c r="C138" s="313"/>
      <c r="D138" s="313"/>
      <c r="E138" s="385"/>
      <c r="F138" s="444" t="b">
        <v>1</v>
      </c>
      <c r="G138" s="445" t="b">
        <v>1</v>
      </c>
      <c r="H138" s="314" t="str">
        <f>IF(F138=TRUE, "|Not using essay component","|")</f>
        <v>|Not using essay component</v>
      </c>
      <c r="I138" s="314" t="str">
        <f>IF(G138=TRUE, "|Not using essay component","|")</f>
        <v>|Not using essay component</v>
      </c>
    </row>
    <row r="141" spans="1:9" x14ac:dyDescent="0.25">
      <c r="A141" s="347" t="s">
        <v>1395</v>
      </c>
      <c r="B141" s="388" t="s">
        <v>1396</v>
      </c>
      <c r="C141" s="651" t="s">
        <v>1147</v>
      </c>
      <c r="D141" s="651"/>
      <c r="E141" s="346"/>
      <c r="F141" s="346"/>
      <c r="G141" s="380"/>
    </row>
    <row r="142" spans="1:9" ht="39.950000000000003" customHeight="1" x14ac:dyDescent="0.25">
      <c r="A142" s="347"/>
      <c r="B142" s="389"/>
      <c r="C142" s="652" t="s">
        <v>1985</v>
      </c>
      <c r="D142" s="652"/>
      <c r="E142" s="346"/>
      <c r="F142" s="346"/>
      <c r="G142" s="380"/>
      <c r="H142" t="str" cm="1">
        <f t="array" ref="H142">_xlfn.IFS($C$142="YES", "Yes", $C$142="yes", "Yes", $C$142="Yes", "Yes", $C$142="NO", "No", $C$142="no", "No", $C$142="No", "No")</f>
        <v>Yes</v>
      </c>
    </row>
    <row r="143" spans="1:9" ht="26.1" customHeight="1" x14ac:dyDescent="0.25">
      <c r="A143" s="376"/>
      <c r="B143" s="346"/>
      <c r="C143" s="216"/>
      <c r="D143" s="338"/>
      <c r="E143" s="346"/>
      <c r="F143" s="340"/>
      <c r="G143" s="333"/>
    </row>
    <row r="144" spans="1:9" ht="32.1" customHeight="1" x14ac:dyDescent="0.25">
      <c r="A144" s="347" t="s">
        <v>1397</v>
      </c>
      <c r="B144" s="660" t="s">
        <v>1398</v>
      </c>
      <c r="C144" s="660"/>
      <c r="D144" s="660"/>
      <c r="E144" s="660"/>
      <c r="F144" s="535">
        <v>44593</v>
      </c>
      <c r="G144" s="333"/>
    </row>
    <row r="145" spans="1:8" ht="32.1" customHeight="1" x14ac:dyDescent="0.25">
      <c r="A145" s="347"/>
      <c r="B145" s="615" t="s">
        <v>1399</v>
      </c>
      <c r="C145" s="615"/>
      <c r="D145" s="615"/>
      <c r="E145" s="615"/>
      <c r="F145" s="535" t="s">
        <v>1989</v>
      </c>
      <c r="G145" s="333"/>
    </row>
    <row r="146" spans="1:8" ht="20.100000000000001" customHeight="1" x14ac:dyDescent="0.25">
      <c r="A146" s="347"/>
      <c r="B146" s="391"/>
      <c r="C146" s="391"/>
      <c r="D146" s="391"/>
      <c r="E146" s="392"/>
      <c r="F146" s="340"/>
      <c r="G146" s="333"/>
    </row>
    <row r="147" spans="1:8" x14ac:dyDescent="0.25">
      <c r="A147" s="347" t="s">
        <v>1400</v>
      </c>
      <c r="B147" s="615" t="s">
        <v>1539</v>
      </c>
      <c r="C147" s="615"/>
      <c r="D147" s="661"/>
      <c r="E147" s="662"/>
      <c r="F147" s="663"/>
      <c r="G147" s="333"/>
    </row>
    <row r="148" spans="1:8" ht="51" customHeight="1" x14ac:dyDescent="0.25">
      <c r="A148" s="347"/>
      <c r="B148" s="615"/>
      <c r="C148" s="615"/>
      <c r="D148" s="664"/>
      <c r="E148" s="665"/>
      <c r="F148" s="666"/>
      <c r="G148" s="333"/>
    </row>
    <row r="149" spans="1:8" x14ac:dyDescent="0.25">
      <c r="A149" s="347"/>
      <c r="B149" s="376"/>
      <c r="C149" s="376"/>
      <c r="D149" s="376"/>
      <c r="E149" s="392"/>
      <c r="F149" s="340"/>
      <c r="G149" s="333"/>
    </row>
    <row r="150" spans="1:8" ht="26.1" customHeight="1" x14ac:dyDescent="0.25">
      <c r="A150" s="345" t="s">
        <v>1401</v>
      </c>
      <c r="B150" s="654" t="s">
        <v>1433</v>
      </c>
      <c r="C150" s="654"/>
      <c r="D150" s="654"/>
      <c r="E150" s="654"/>
      <c r="F150" s="654"/>
      <c r="G150" s="380"/>
    </row>
    <row r="151" spans="1:8" x14ac:dyDescent="0.25">
      <c r="A151" s="347"/>
      <c r="B151" s="377" t="s">
        <v>1402</v>
      </c>
      <c r="C151" s="341"/>
      <c r="D151" s="341"/>
      <c r="E151" s="393"/>
      <c r="F151" s="365"/>
      <c r="G151" s="446" t="b">
        <v>0</v>
      </c>
      <c r="H151" t="str" cm="1">
        <f t="array" ref="H151">_xlfn.IFS($G$151=TRUE, "SAT|", $G$151=FALSE, "")</f>
        <v/>
      </c>
    </row>
    <row r="152" spans="1:8" x14ac:dyDescent="0.25">
      <c r="A152" s="347"/>
      <c r="B152" s="611" t="s">
        <v>1403</v>
      </c>
      <c r="C152" s="655"/>
      <c r="D152" s="655"/>
      <c r="E152" s="344"/>
      <c r="F152" s="365"/>
      <c r="G152" s="446" t="b">
        <v>0</v>
      </c>
      <c r="H152" t="str" cm="1">
        <f t="array" ref="H152">_xlfn.IFS($G$152=TRUE, "ACT|", $G$152=FALSE, "")</f>
        <v/>
      </c>
    </row>
    <row r="153" spans="1:8" x14ac:dyDescent="0.25">
      <c r="A153" s="347"/>
      <c r="B153" s="377" t="s">
        <v>1382</v>
      </c>
      <c r="C153" s="341"/>
      <c r="D153" s="341"/>
      <c r="E153" s="344"/>
      <c r="F153" s="346"/>
      <c r="G153" s="446" t="b">
        <v>0</v>
      </c>
      <c r="H153" t="str" cm="1">
        <f t="array" ref="H153">_xlfn.IFS($G$153=TRUE, "SAT Subject Tests|", $G$153=FALSE, "")</f>
        <v/>
      </c>
    </row>
    <row r="154" spans="1:8" x14ac:dyDescent="0.25">
      <c r="A154" s="347"/>
      <c r="B154" s="377" t="s">
        <v>1404</v>
      </c>
      <c r="C154" s="341"/>
      <c r="D154" s="341"/>
      <c r="E154" s="344"/>
      <c r="F154" s="346"/>
      <c r="G154" s="446" t="b">
        <v>1</v>
      </c>
      <c r="H154" t="str" cm="1">
        <f t="array" ref="H154">_xlfn.IFS($G$154=TRUE, "AP|", $G$154=FALSE, "")</f>
        <v>AP|</v>
      </c>
    </row>
    <row r="155" spans="1:8" x14ac:dyDescent="0.25">
      <c r="A155" s="347"/>
      <c r="B155" s="343" t="s">
        <v>1405</v>
      </c>
      <c r="C155" s="341"/>
      <c r="D155" s="341"/>
      <c r="E155" s="392"/>
      <c r="F155" s="340"/>
      <c r="G155" s="446" t="b">
        <v>0</v>
      </c>
      <c r="H155" t="str" cm="1">
        <f t="array" ref="H155">_xlfn.IFS($G$155=TRUE, "CLEP|", $G$155=FALSE, "")</f>
        <v/>
      </c>
    </row>
    <row r="156" spans="1:8" x14ac:dyDescent="0.25">
      <c r="A156" s="347"/>
      <c r="B156" s="377" t="s">
        <v>1406</v>
      </c>
      <c r="C156" s="338"/>
      <c r="D156" s="338"/>
      <c r="E156" s="344"/>
      <c r="F156" s="346"/>
      <c r="G156" s="446" t="b">
        <v>1</v>
      </c>
      <c r="H156" t="str" cm="1">
        <f t="array" ref="H156">_xlfn.IFS($G$156=TRUE, "Institutional Exam|", $G$156=FALSE, "")</f>
        <v>Institutional Exam|</v>
      </c>
    </row>
    <row r="157" spans="1:8" x14ac:dyDescent="0.25">
      <c r="A157" s="347"/>
      <c r="B157" s="377" t="s">
        <v>1407</v>
      </c>
      <c r="C157" s="656"/>
      <c r="D157" s="656"/>
      <c r="E157" s="656"/>
      <c r="F157" s="656"/>
      <c r="G157" s="446" t="b">
        <v>0</v>
      </c>
      <c r="H157" t="str" cm="1">
        <f t="array" ref="H157">_xlfn.IFS($G$157=TRUE, "State Exam|", $G$157=FALSE, "")</f>
        <v/>
      </c>
    </row>
    <row r="158" spans="1:8" x14ac:dyDescent="0.25">
      <c r="A158" s="334"/>
      <c r="B158" s="394"/>
      <c r="C158" s="395"/>
      <c r="D158" s="395"/>
      <c r="E158" s="395"/>
      <c r="F158" s="395"/>
      <c r="G158" s="333"/>
    </row>
    <row r="159" spans="1:8" x14ac:dyDescent="0.25">
      <c r="A159" s="334"/>
      <c r="B159" s="362"/>
      <c r="C159" s="362"/>
      <c r="D159" s="362"/>
      <c r="E159" s="396"/>
      <c r="F159" s="397"/>
      <c r="G159" s="333"/>
    </row>
    <row r="160" spans="1:8" ht="24.95" customHeight="1" x14ac:dyDescent="0.25">
      <c r="A160" s="376"/>
      <c r="B160" s="307" t="s">
        <v>1441</v>
      </c>
      <c r="C160" s="216"/>
      <c r="D160" s="338"/>
      <c r="E160" s="346"/>
      <c r="F160" s="340"/>
      <c r="G160" s="346"/>
    </row>
    <row r="161" spans="1:7" ht="41.1" customHeight="1" x14ac:dyDescent="0.25">
      <c r="A161" s="376"/>
      <c r="B161" s="657" t="s">
        <v>1923</v>
      </c>
      <c r="C161" s="658"/>
      <c r="D161" s="658"/>
      <c r="E161" s="658"/>
      <c r="F161" s="658"/>
      <c r="G161" s="346"/>
    </row>
    <row r="162" spans="1:7" x14ac:dyDescent="0.25">
      <c r="A162" s="376"/>
      <c r="B162" s="398"/>
      <c r="C162" s="216"/>
      <c r="D162" s="338"/>
      <c r="E162" s="346"/>
      <c r="F162" s="340"/>
      <c r="G162" s="346"/>
    </row>
    <row r="163" spans="1:7" s="120" customFormat="1" ht="17.100000000000001" customHeight="1" x14ac:dyDescent="0.25">
      <c r="A163" s="345" t="s">
        <v>1408</v>
      </c>
      <c r="B163" s="659" t="s">
        <v>1924</v>
      </c>
      <c r="C163" s="659"/>
      <c r="D163" s="659"/>
      <c r="E163" s="659"/>
      <c r="F163" s="659"/>
      <c r="G163" s="399"/>
    </row>
    <row r="164" spans="1:7" s="120" customFormat="1" ht="33" customHeight="1" x14ac:dyDescent="0.25">
      <c r="A164" s="345"/>
      <c r="B164" s="653" t="s">
        <v>1440</v>
      </c>
      <c r="C164" s="647"/>
      <c r="D164" s="647"/>
      <c r="E164" s="647"/>
      <c r="F164" s="647"/>
      <c r="G164" s="399"/>
    </row>
    <row r="165" spans="1:7" s="120" customFormat="1" ht="33" customHeight="1" x14ac:dyDescent="0.25">
      <c r="A165" s="345"/>
      <c r="B165" s="647" t="s">
        <v>1434</v>
      </c>
      <c r="C165" s="647"/>
      <c r="D165" s="647"/>
      <c r="E165" s="647"/>
      <c r="F165" s="647"/>
      <c r="G165" s="399"/>
    </row>
    <row r="166" spans="1:7" s="120" customFormat="1" ht="17.100000000000001" customHeight="1" x14ac:dyDescent="0.25">
      <c r="A166" s="345"/>
      <c r="B166" s="647" t="s">
        <v>1435</v>
      </c>
      <c r="C166" s="647"/>
      <c r="D166" s="647"/>
      <c r="E166" s="647"/>
      <c r="F166" s="647"/>
      <c r="G166" s="399"/>
    </row>
    <row r="167" spans="1:7" s="120" customFormat="1" ht="33.950000000000003" customHeight="1" x14ac:dyDescent="0.25">
      <c r="A167" s="345"/>
      <c r="B167" s="647" t="s">
        <v>1436</v>
      </c>
      <c r="C167" s="647"/>
      <c r="D167" s="647"/>
      <c r="E167" s="647"/>
      <c r="F167" s="647"/>
      <c r="G167" s="399"/>
    </row>
    <row r="168" spans="1:7" s="120" customFormat="1" ht="35.1" customHeight="1" x14ac:dyDescent="0.25">
      <c r="A168" s="345"/>
      <c r="B168" s="647" t="s">
        <v>1921</v>
      </c>
      <c r="C168" s="647"/>
      <c r="D168" s="647"/>
      <c r="E168" s="647"/>
      <c r="F168" s="647"/>
      <c r="G168" s="399"/>
    </row>
    <row r="169" spans="1:7" s="120" customFormat="1" ht="17.100000000000001" customHeight="1" x14ac:dyDescent="0.25">
      <c r="A169" s="345"/>
      <c r="B169" s="647" t="s">
        <v>1922</v>
      </c>
      <c r="C169" s="647"/>
      <c r="D169" s="647"/>
      <c r="E169" s="647"/>
      <c r="F169" s="647"/>
      <c r="G169" s="399"/>
    </row>
    <row r="170" spans="1:7" x14ac:dyDescent="0.25">
      <c r="A170" s="347"/>
      <c r="B170" s="400"/>
      <c r="C170" s="391"/>
      <c r="D170" s="391"/>
      <c r="E170" s="391"/>
      <c r="F170" s="391"/>
      <c r="G170" s="346"/>
    </row>
    <row r="171" spans="1:7" ht="17.100000000000001" customHeight="1" x14ac:dyDescent="0.25">
      <c r="A171" s="347"/>
      <c r="B171" s="401"/>
      <c r="C171" s="402" t="s">
        <v>1409</v>
      </c>
      <c r="D171" s="403" t="s">
        <v>456</v>
      </c>
      <c r="E171" s="335"/>
      <c r="F171" s="404"/>
      <c r="G171" s="346"/>
    </row>
    <row r="172" spans="1:7" ht="17.100000000000001" customHeight="1" x14ac:dyDescent="0.25">
      <c r="A172" s="347"/>
      <c r="B172" s="405" t="s">
        <v>1410</v>
      </c>
      <c r="C172" s="447">
        <v>0.28000000000000003</v>
      </c>
      <c r="D172" s="448">
        <v>149</v>
      </c>
      <c r="E172" s="391"/>
      <c r="F172" s="404"/>
      <c r="G172" s="346"/>
    </row>
    <row r="173" spans="1:7" ht="17.100000000000001" customHeight="1" x14ac:dyDescent="0.25">
      <c r="A173" s="347"/>
      <c r="B173" s="405" t="s">
        <v>1411</v>
      </c>
      <c r="C173" s="447">
        <v>0.27</v>
      </c>
      <c r="D173" s="448">
        <v>142</v>
      </c>
      <c r="E173" s="391"/>
      <c r="F173" s="404"/>
      <c r="G173" s="346"/>
    </row>
    <row r="174" spans="1:7" x14ac:dyDescent="0.25">
      <c r="A174" s="347"/>
      <c r="B174" s="400"/>
      <c r="C174" s="391"/>
      <c r="D174" s="391"/>
      <c r="E174" s="391"/>
      <c r="F174" s="391"/>
      <c r="G174" s="346"/>
    </row>
    <row r="175" spans="1:7" x14ac:dyDescent="0.25">
      <c r="A175" s="347"/>
      <c r="B175" s="648" t="s">
        <v>1439</v>
      </c>
      <c r="C175" s="648"/>
      <c r="D175" s="648"/>
      <c r="E175" s="648"/>
      <c r="F175" s="648"/>
      <c r="G175" s="648"/>
    </row>
    <row r="176" spans="1:7" ht="27" customHeight="1" x14ac:dyDescent="0.25">
      <c r="A176" s="347"/>
      <c r="B176" s="648"/>
      <c r="C176" s="648"/>
      <c r="D176" s="648"/>
      <c r="E176" s="648"/>
      <c r="F176" s="648"/>
      <c r="G176" s="648"/>
    </row>
    <row r="177" spans="1:8" x14ac:dyDescent="0.25">
      <c r="A177" s="347"/>
      <c r="B177" s="400"/>
      <c r="C177" s="391"/>
      <c r="D177" s="391"/>
      <c r="E177" s="391"/>
      <c r="F177" s="391"/>
      <c r="G177" s="346"/>
    </row>
    <row r="178" spans="1:8" ht="17.100000000000001" customHeight="1" x14ac:dyDescent="0.25">
      <c r="A178" s="347"/>
      <c r="B178" s="406" t="s">
        <v>1412</v>
      </c>
      <c r="C178" s="406" t="s">
        <v>1413</v>
      </c>
      <c r="D178" s="406" t="s">
        <v>1438</v>
      </c>
      <c r="E178" s="406" t="s">
        <v>1414</v>
      </c>
      <c r="F178" s="346"/>
      <c r="G178" s="346"/>
      <c r="H178" s="346"/>
    </row>
    <row r="179" spans="1:8" ht="17.100000000000001" customHeight="1" x14ac:dyDescent="0.25">
      <c r="A179" s="347"/>
      <c r="B179" s="407" t="s">
        <v>1415</v>
      </c>
      <c r="C179" s="449">
        <v>1580</v>
      </c>
      <c r="D179" s="449">
        <v>1440</v>
      </c>
      <c r="E179" s="449">
        <v>1380</v>
      </c>
      <c r="F179" s="346"/>
      <c r="G179" s="346"/>
      <c r="H179" s="346"/>
    </row>
    <row r="180" spans="1:8" ht="17.100000000000001" customHeight="1" x14ac:dyDescent="0.25">
      <c r="A180" s="347"/>
      <c r="B180" s="408" t="s">
        <v>1416</v>
      </c>
      <c r="C180" s="553">
        <v>800</v>
      </c>
      <c r="D180" s="553">
        <v>730</v>
      </c>
      <c r="E180" s="553">
        <v>700</v>
      </c>
      <c r="F180" s="346"/>
      <c r="G180" s="391"/>
      <c r="H180" s="346"/>
    </row>
    <row r="181" spans="1:8" ht="17.100000000000001" customHeight="1" x14ac:dyDescent="0.25">
      <c r="A181" s="347"/>
      <c r="B181" s="407" t="s">
        <v>1417</v>
      </c>
      <c r="C181" s="553">
        <v>800</v>
      </c>
      <c r="D181" s="553">
        <v>710</v>
      </c>
      <c r="E181" s="553">
        <v>670</v>
      </c>
      <c r="F181" s="346"/>
      <c r="G181" s="346"/>
      <c r="H181" s="346"/>
    </row>
    <row r="182" spans="1:8" ht="17.100000000000001" customHeight="1" x14ac:dyDescent="0.25">
      <c r="A182" s="347"/>
      <c r="B182" s="407" t="s">
        <v>1418</v>
      </c>
      <c r="C182" s="553">
        <v>36</v>
      </c>
      <c r="D182" s="553">
        <v>33</v>
      </c>
      <c r="E182" s="553">
        <v>31</v>
      </c>
      <c r="F182" s="346"/>
      <c r="G182" s="346"/>
      <c r="H182" s="346"/>
    </row>
    <row r="183" spans="1:8" ht="17.100000000000001" customHeight="1" x14ac:dyDescent="0.25">
      <c r="A183" s="347"/>
      <c r="B183" s="407" t="s">
        <v>1419</v>
      </c>
      <c r="C183" s="553">
        <v>36</v>
      </c>
      <c r="D183" s="553">
        <v>30</v>
      </c>
      <c r="E183" s="553">
        <v>27</v>
      </c>
      <c r="F183" s="346"/>
      <c r="G183" s="346"/>
      <c r="H183" s="346"/>
    </row>
    <row r="184" spans="1:8" ht="17.100000000000001" customHeight="1" x14ac:dyDescent="0.25">
      <c r="A184" s="347"/>
      <c r="B184" s="407" t="s">
        <v>1420</v>
      </c>
      <c r="C184" s="553">
        <v>36</v>
      </c>
      <c r="D184" s="553">
        <v>35</v>
      </c>
      <c r="E184" s="553">
        <v>34</v>
      </c>
      <c r="F184" s="346"/>
      <c r="G184" s="346"/>
      <c r="H184" s="346"/>
    </row>
    <row r="185" spans="1:8" ht="17.100000000000001" customHeight="1" x14ac:dyDescent="0.25">
      <c r="A185" s="347"/>
      <c r="B185" s="407" t="s">
        <v>1421</v>
      </c>
      <c r="C185" s="553" t="s">
        <v>1989</v>
      </c>
      <c r="D185" s="553" t="s">
        <v>1989</v>
      </c>
      <c r="E185" s="553" t="s">
        <v>1989</v>
      </c>
      <c r="F185" s="346"/>
      <c r="G185" s="346"/>
      <c r="H185" s="346"/>
    </row>
    <row r="186" spans="1:8" ht="17.100000000000001" customHeight="1" x14ac:dyDescent="0.25">
      <c r="A186" s="347"/>
      <c r="B186" s="407" t="s">
        <v>1540</v>
      </c>
      <c r="C186" s="553">
        <v>36</v>
      </c>
      <c r="D186" s="553">
        <v>32</v>
      </c>
      <c r="E186" s="553">
        <v>29</v>
      </c>
      <c r="F186" s="346"/>
      <c r="G186" s="346"/>
      <c r="H186" s="346"/>
    </row>
    <row r="187" spans="1:8" ht="17.100000000000001" customHeight="1" x14ac:dyDescent="0.25">
      <c r="A187" s="347"/>
      <c r="B187" s="407" t="s">
        <v>1541</v>
      </c>
      <c r="C187" s="553">
        <v>36</v>
      </c>
      <c r="D187" s="553">
        <v>35</v>
      </c>
      <c r="E187" s="553">
        <v>33</v>
      </c>
      <c r="F187" s="346"/>
      <c r="G187" s="346"/>
      <c r="H187" s="346"/>
    </row>
    <row r="188" spans="1:8" x14ac:dyDescent="0.25">
      <c r="A188" s="376"/>
      <c r="B188" s="346"/>
      <c r="C188" s="409"/>
      <c r="D188" s="409"/>
      <c r="E188" s="346"/>
      <c r="F188" s="346"/>
      <c r="G188" s="346"/>
    </row>
    <row r="189" spans="1:8" ht="16.5" x14ac:dyDescent="0.25">
      <c r="A189" s="376"/>
      <c r="B189" s="649" t="s">
        <v>1437</v>
      </c>
      <c r="C189" s="650"/>
      <c r="D189" s="650"/>
      <c r="E189" s="650"/>
      <c r="F189" s="650"/>
      <c r="G189" s="650"/>
    </row>
    <row r="190" spans="1:8" x14ac:dyDescent="0.25">
      <c r="A190" s="376"/>
      <c r="B190" s="346"/>
      <c r="C190" s="409"/>
      <c r="D190" s="409"/>
      <c r="E190" s="346"/>
      <c r="F190" s="346"/>
      <c r="G190" s="346"/>
    </row>
    <row r="191" spans="1:8" ht="47.25" x14ac:dyDescent="0.25">
      <c r="A191" s="376"/>
      <c r="B191" s="410" t="s">
        <v>1422</v>
      </c>
      <c r="C191" s="411" t="s">
        <v>1416</v>
      </c>
      <c r="D191" s="410" t="s">
        <v>1417</v>
      </c>
      <c r="E191" s="346"/>
      <c r="F191" s="346"/>
      <c r="G191" s="346"/>
    </row>
    <row r="192" spans="1:8" ht="17.100000000000001" customHeight="1" x14ac:dyDescent="0.25">
      <c r="A192" s="376"/>
      <c r="B192" s="390" t="s">
        <v>1423</v>
      </c>
      <c r="C192" s="450">
        <v>0.75800000000000001</v>
      </c>
      <c r="D192" s="450">
        <v>0.58399999999999996</v>
      </c>
      <c r="E192" s="346"/>
      <c r="F192" s="346"/>
      <c r="G192" s="346"/>
    </row>
    <row r="193" spans="1:7" ht="17.100000000000001" customHeight="1" x14ac:dyDescent="0.25">
      <c r="A193" s="376"/>
      <c r="B193" s="390" t="s">
        <v>1424</v>
      </c>
      <c r="C193" s="450">
        <v>0.24199999999999999</v>
      </c>
      <c r="D193" s="450">
        <v>0.40300000000000002</v>
      </c>
      <c r="E193" s="346"/>
      <c r="F193" s="346"/>
      <c r="G193" s="346"/>
    </row>
    <row r="194" spans="1:7" ht="17.100000000000001" customHeight="1" x14ac:dyDescent="0.25">
      <c r="A194" s="376"/>
      <c r="B194" s="390" t="s">
        <v>1425</v>
      </c>
      <c r="C194" s="450">
        <v>0</v>
      </c>
      <c r="D194" s="450">
        <v>1.2999999999999999E-2</v>
      </c>
      <c r="E194" s="346"/>
      <c r="F194" s="346"/>
      <c r="G194" s="346"/>
    </row>
    <row r="195" spans="1:7" ht="17.100000000000001" customHeight="1" x14ac:dyDescent="0.25">
      <c r="A195" s="376"/>
      <c r="B195" s="390" t="s">
        <v>1426</v>
      </c>
      <c r="C195" s="450">
        <v>0</v>
      </c>
      <c r="D195" s="450">
        <v>0</v>
      </c>
      <c r="E195" s="346"/>
      <c r="F195" s="346"/>
      <c r="G195" s="346"/>
    </row>
    <row r="196" spans="1:7" ht="17.100000000000001" customHeight="1" x14ac:dyDescent="0.25">
      <c r="A196" s="376"/>
      <c r="B196" s="390" t="s">
        <v>1427</v>
      </c>
      <c r="C196" s="450">
        <v>0</v>
      </c>
      <c r="D196" s="450">
        <v>0</v>
      </c>
      <c r="E196" s="346"/>
      <c r="F196" s="346"/>
      <c r="G196" s="346"/>
    </row>
    <row r="197" spans="1:7" ht="17.100000000000001" customHeight="1" x14ac:dyDescent="0.25">
      <c r="A197" s="376"/>
      <c r="B197" s="390" t="s">
        <v>1428</v>
      </c>
      <c r="C197" s="450">
        <v>0</v>
      </c>
      <c r="D197" s="450">
        <v>0</v>
      </c>
      <c r="E197" s="346"/>
      <c r="F197" s="346"/>
      <c r="G197" s="346"/>
    </row>
    <row r="198" spans="1:7" ht="17.100000000000001" customHeight="1" x14ac:dyDescent="0.25">
      <c r="A198" s="376"/>
      <c r="B198" s="407" t="s">
        <v>1429</v>
      </c>
      <c r="C198" s="419">
        <f>SUM(C192:C197)</f>
        <v>1</v>
      </c>
      <c r="D198" s="419">
        <f>SUM(D192:D197)</f>
        <v>1</v>
      </c>
      <c r="E198" s="346"/>
      <c r="F198" s="346"/>
      <c r="G198" s="346"/>
    </row>
    <row r="199" spans="1:7" ht="17.100000000000001" customHeight="1" x14ac:dyDescent="0.25">
      <c r="A199" s="376"/>
      <c r="B199" s="346"/>
      <c r="C199" s="409"/>
      <c r="D199" s="409"/>
      <c r="E199" s="346"/>
      <c r="F199" s="346"/>
      <c r="G199" s="346"/>
    </row>
    <row r="200" spans="1:7" ht="17.100000000000001" customHeight="1" x14ac:dyDescent="0.25">
      <c r="A200" s="347"/>
      <c r="B200" s="406" t="s">
        <v>1422</v>
      </c>
      <c r="C200" s="412" t="s">
        <v>1415</v>
      </c>
      <c r="D200" s="401"/>
      <c r="E200" s="401"/>
      <c r="F200" s="401"/>
      <c r="G200" s="346"/>
    </row>
    <row r="201" spans="1:7" ht="17.100000000000001" customHeight="1" x14ac:dyDescent="0.25">
      <c r="A201" s="347"/>
      <c r="B201" s="413" t="s">
        <v>1430</v>
      </c>
      <c r="C201" s="452">
        <v>0.71099999999999997</v>
      </c>
      <c r="D201" s="401"/>
      <c r="E201" s="401"/>
      <c r="F201" s="401"/>
      <c r="G201" s="346"/>
    </row>
    <row r="202" spans="1:7" ht="17.100000000000001" customHeight="1" x14ac:dyDescent="0.25">
      <c r="A202" s="347"/>
      <c r="B202" s="413" t="s">
        <v>1431</v>
      </c>
      <c r="C202" s="452">
        <v>0.28199999999999997</v>
      </c>
      <c r="D202" s="401"/>
      <c r="E202" s="401"/>
      <c r="F202" s="401"/>
      <c r="G202" s="346"/>
    </row>
    <row r="203" spans="1:7" ht="17.100000000000001" customHeight="1" x14ac:dyDescent="0.25">
      <c r="A203" s="347"/>
      <c r="B203" s="413" t="s">
        <v>1432</v>
      </c>
      <c r="C203" s="452">
        <v>7.0000000000000001E-3</v>
      </c>
      <c r="D203" s="401"/>
      <c r="E203" s="401"/>
      <c r="F203" s="401"/>
      <c r="G203" s="346"/>
    </row>
    <row r="204" spans="1:7" ht="17.100000000000001" customHeight="1" x14ac:dyDescent="0.25">
      <c r="A204" s="347"/>
      <c r="B204" s="413" t="s">
        <v>1442</v>
      </c>
      <c r="C204" s="452">
        <v>0</v>
      </c>
      <c r="D204" s="401"/>
      <c r="E204" s="401"/>
      <c r="F204" s="401"/>
      <c r="G204" s="346"/>
    </row>
    <row r="205" spans="1:7" ht="17.100000000000001" customHeight="1" x14ac:dyDescent="0.25">
      <c r="A205" s="347"/>
      <c r="B205" s="413" t="s">
        <v>1443</v>
      </c>
      <c r="C205" s="452">
        <v>0</v>
      </c>
      <c r="D205" s="401"/>
      <c r="E205" s="401"/>
      <c r="F205" s="401"/>
      <c r="G205" s="346"/>
    </row>
    <row r="206" spans="1:7" ht="17.100000000000001" customHeight="1" x14ac:dyDescent="0.25">
      <c r="A206" s="347"/>
      <c r="B206" s="413" t="s">
        <v>1444</v>
      </c>
      <c r="C206" s="452">
        <v>0</v>
      </c>
      <c r="D206" s="401"/>
      <c r="E206" s="401"/>
      <c r="F206" s="401"/>
      <c r="G206" s="346"/>
    </row>
    <row r="207" spans="1:7" ht="17.100000000000001" customHeight="1" x14ac:dyDescent="0.25">
      <c r="A207" s="347"/>
      <c r="B207" s="407" t="s">
        <v>1429</v>
      </c>
      <c r="C207" s="451">
        <f>SUM(C201:C206)</f>
        <v>0.99999999999999989</v>
      </c>
      <c r="D207" s="401"/>
      <c r="E207" s="401"/>
      <c r="F207" s="401"/>
      <c r="G207" s="346"/>
    </row>
    <row r="208" spans="1:7" ht="17.100000000000001" customHeight="1" x14ac:dyDescent="0.25">
      <c r="A208" s="347"/>
      <c r="B208" s="346"/>
      <c r="C208" s="414"/>
      <c r="D208" s="401"/>
      <c r="E208" s="401"/>
      <c r="F208" s="401"/>
      <c r="G208" s="346"/>
    </row>
    <row r="209" spans="1:7" ht="17.100000000000001" customHeight="1" x14ac:dyDescent="0.25">
      <c r="A209" s="347"/>
      <c r="B209" s="406" t="s">
        <v>1422</v>
      </c>
      <c r="C209" s="406" t="s">
        <v>1418</v>
      </c>
      <c r="D209" s="406" t="s">
        <v>1420</v>
      </c>
      <c r="E209" s="406" t="s">
        <v>1419</v>
      </c>
      <c r="F209" s="406" t="s">
        <v>1540</v>
      </c>
      <c r="G209" s="406" t="s">
        <v>1541</v>
      </c>
    </row>
    <row r="210" spans="1:7" ht="17.100000000000001" customHeight="1" x14ac:dyDescent="0.25">
      <c r="A210" s="347"/>
      <c r="B210" s="390" t="s">
        <v>1445</v>
      </c>
      <c r="C210" s="454">
        <v>0.90800000000000003</v>
      </c>
      <c r="D210" s="454">
        <v>0.92900000000000005</v>
      </c>
      <c r="E210" s="454">
        <v>0.54900000000000004</v>
      </c>
      <c r="F210" s="454">
        <v>0.73899999999999999</v>
      </c>
      <c r="G210" s="454">
        <v>0.95099999999999996</v>
      </c>
    </row>
    <row r="211" spans="1:7" ht="17.100000000000001" customHeight="1" x14ac:dyDescent="0.25">
      <c r="A211" s="347"/>
      <c r="B211" s="390" t="s">
        <v>1446</v>
      </c>
      <c r="C211" s="454">
        <v>9.1999999999999998E-2</v>
      </c>
      <c r="D211" s="454">
        <v>6.3E-2</v>
      </c>
      <c r="E211" s="454">
        <v>0.42899999999999999</v>
      </c>
      <c r="F211" s="454">
        <v>0.253</v>
      </c>
      <c r="G211" s="454">
        <v>4.2000000000000003E-2</v>
      </c>
    </row>
    <row r="212" spans="1:7" ht="17.100000000000001" customHeight="1" x14ac:dyDescent="0.25">
      <c r="A212" s="347"/>
      <c r="B212" s="390" t="s">
        <v>1447</v>
      </c>
      <c r="C212" s="454">
        <v>0</v>
      </c>
      <c r="D212" s="454">
        <v>7.0000000000000001E-3</v>
      </c>
      <c r="E212" s="454">
        <v>1.4E-2</v>
      </c>
      <c r="F212" s="454">
        <v>7.0000000000000001E-3</v>
      </c>
      <c r="G212" s="454">
        <v>7.0000000000000001E-3</v>
      </c>
    </row>
    <row r="213" spans="1:7" ht="17.100000000000001" customHeight="1" x14ac:dyDescent="0.25">
      <c r="A213" s="347"/>
      <c r="B213" s="415" t="s">
        <v>1448</v>
      </c>
      <c r="C213" s="454">
        <v>0</v>
      </c>
      <c r="D213" s="454">
        <v>0</v>
      </c>
      <c r="E213" s="454">
        <v>7.0000000000000001E-3</v>
      </c>
      <c r="F213" s="454">
        <v>0</v>
      </c>
      <c r="G213" s="454">
        <v>0</v>
      </c>
    </row>
    <row r="214" spans="1:7" ht="17.100000000000001" customHeight="1" x14ac:dyDescent="0.25">
      <c r="A214" s="347"/>
      <c r="B214" s="415" t="s">
        <v>1449</v>
      </c>
      <c r="C214" s="454">
        <v>0</v>
      </c>
      <c r="D214" s="454">
        <v>0</v>
      </c>
      <c r="E214" s="454">
        <v>0</v>
      </c>
      <c r="F214" s="454">
        <v>0</v>
      </c>
      <c r="G214" s="454">
        <v>0</v>
      </c>
    </row>
    <row r="215" spans="1:7" ht="17.100000000000001" customHeight="1" x14ac:dyDescent="0.25">
      <c r="A215" s="347"/>
      <c r="B215" s="390" t="s">
        <v>1450</v>
      </c>
      <c r="C215" s="454">
        <v>0</v>
      </c>
      <c r="D215" s="454">
        <v>0</v>
      </c>
      <c r="E215" s="454">
        <v>0</v>
      </c>
      <c r="F215" s="454">
        <v>0</v>
      </c>
      <c r="G215" s="454">
        <v>0</v>
      </c>
    </row>
    <row r="216" spans="1:7" ht="17.100000000000001" customHeight="1" x14ac:dyDescent="0.25">
      <c r="A216" s="376"/>
      <c r="B216" s="407" t="s">
        <v>1429</v>
      </c>
      <c r="C216" s="419">
        <f>SUM(C210:C215)</f>
        <v>1</v>
      </c>
      <c r="D216" s="419">
        <f>SUM(D210:D215)</f>
        <v>0.999</v>
      </c>
      <c r="E216" s="453">
        <f>SUM(E210:E215)</f>
        <v>0.999</v>
      </c>
      <c r="F216" s="453">
        <f t="shared" ref="F216:G216" si="0">SUM(F210:F215)</f>
        <v>0.999</v>
      </c>
      <c r="G216" s="453">
        <f t="shared" si="0"/>
        <v>1</v>
      </c>
    </row>
    <row r="217" spans="1:7" x14ac:dyDescent="0.25">
      <c r="A217" s="331"/>
      <c r="B217" s="333"/>
      <c r="C217" s="416"/>
      <c r="D217" s="416"/>
      <c r="E217" s="416"/>
      <c r="F217" s="333"/>
      <c r="G217" s="333"/>
    </row>
    <row r="218" spans="1:7" ht="41.1" customHeight="1" x14ac:dyDescent="0.25">
      <c r="A218" s="347" t="s">
        <v>1451</v>
      </c>
      <c r="B218" s="622" t="s">
        <v>1452</v>
      </c>
      <c r="C218" s="615"/>
      <c r="D218" s="615"/>
      <c r="E218" s="615"/>
      <c r="F218" s="615"/>
      <c r="G218" s="346"/>
    </row>
    <row r="219" spans="1:7" ht="17.100000000000001" customHeight="1" x14ac:dyDescent="0.25">
      <c r="A219" s="347"/>
      <c r="B219" s="638" t="s">
        <v>1412</v>
      </c>
      <c r="C219" s="638"/>
      <c r="D219" s="638"/>
      <c r="E219" s="418" t="s">
        <v>1409</v>
      </c>
      <c r="F219" s="391"/>
      <c r="G219" s="346"/>
    </row>
    <row r="220" spans="1:7" ht="17.100000000000001" customHeight="1" x14ac:dyDescent="0.25">
      <c r="A220" s="347"/>
      <c r="B220" s="639" t="s">
        <v>1453</v>
      </c>
      <c r="C220" s="639"/>
      <c r="D220" s="639"/>
      <c r="E220" s="450">
        <v>0.63300000000000001</v>
      </c>
      <c r="F220" s="216"/>
      <c r="G220" s="346"/>
    </row>
    <row r="221" spans="1:7" ht="17.100000000000001" customHeight="1" x14ac:dyDescent="0.25">
      <c r="A221" s="347"/>
      <c r="B221" s="630" t="s">
        <v>1454</v>
      </c>
      <c r="C221" s="630"/>
      <c r="D221" s="630"/>
      <c r="E221" s="450">
        <v>0.86099999999999999</v>
      </c>
      <c r="F221" s="216"/>
      <c r="G221" s="346"/>
    </row>
    <row r="222" spans="1:7" ht="17.100000000000001" customHeight="1" x14ac:dyDescent="0.25">
      <c r="A222" s="347"/>
      <c r="B222" s="630" t="s">
        <v>1455</v>
      </c>
      <c r="C222" s="630"/>
      <c r="D222" s="630"/>
      <c r="E222" s="450">
        <v>0.97399999999999998</v>
      </c>
      <c r="F222" s="217" t="s">
        <v>1456</v>
      </c>
      <c r="G222" s="346"/>
    </row>
    <row r="223" spans="1:7" ht="17.100000000000001" customHeight="1" x14ac:dyDescent="0.25">
      <c r="A223" s="347"/>
      <c r="B223" s="630" t="s">
        <v>1457</v>
      </c>
      <c r="C223" s="630"/>
      <c r="D223" s="630"/>
      <c r="E223" s="450">
        <v>2.5000000000000001E-2</v>
      </c>
      <c r="F223" s="217" t="s">
        <v>1458</v>
      </c>
      <c r="G223" s="346"/>
    </row>
    <row r="224" spans="1:7" ht="17.100000000000001" customHeight="1" x14ac:dyDescent="0.25">
      <c r="A224" s="347"/>
      <c r="B224" s="630" t="s">
        <v>1459</v>
      </c>
      <c r="C224" s="630"/>
      <c r="D224" s="630"/>
      <c r="E224" s="450">
        <v>0</v>
      </c>
      <c r="F224" s="216"/>
      <c r="G224" s="346"/>
    </row>
    <row r="225" spans="1:7" ht="17.100000000000001" customHeight="1" x14ac:dyDescent="0.25">
      <c r="A225" s="347"/>
      <c r="B225" s="634" t="s">
        <v>1460</v>
      </c>
      <c r="C225" s="635"/>
      <c r="D225" s="635"/>
      <c r="E225" s="536">
        <v>0.153</v>
      </c>
      <c r="F225" s="218"/>
      <c r="G225" s="346"/>
    </row>
    <row r="226" spans="1:7" ht="17.100000000000001" customHeight="1" x14ac:dyDescent="0.25">
      <c r="A226" s="376"/>
      <c r="B226" s="346"/>
      <c r="C226" s="346"/>
      <c r="D226" s="346"/>
      <c r="E226" s="346"/>
      <c r="F226" s="340"/>
      <c r="G226" s="346"/>
    </row>
    <row r="227" spans="1:7" ht="17.100000000000001" customHeight="1" x14ac:dyDescent="0.25">
      <c r="A227" s="347" t="s">
        <v>1461</v>
      </c>
      <c r="B227" s="636" t="s">
        <v>1462</v>
      </c>
      <c r="C227" s="636"/>
      <c r="D227" s="636"/>
      <c r="E227" s="636"/>
      <c r="F227" s="636"/>
      <c r="G227" s="346"/>
    </row>
    <row r="228" spans="1:7" ht="17.100000000000001" customHeight="1" x14ac:dyDescent="0.25">
      <c r="A228" s="347"/>
      <c r="B228" s="375"/>
      <c r="C228" s="375"/>
      <c r="D228" s="375"/>
      <c r="E228" s="375"/>
      <c r="F228" s="375"/>
      <c r="G228" s="346"/>
    </row>
    <row r="229" spans="1:7" ht="17.100000000000001" customHeight="1" x14ac:dyDescent="0.25">
      <c r="A229" s="347"/>
      <c r="B229" s="637" t="s">
        <v>1422</v>
      </c>
      <c r="C229" s="637"/>
      <c r="D229" s="420" t="s">
        <v>1409</v>
      </c>
      <c r="E229" s="375"/>
      <c r="F229" s="375"/>
      <c r="G229" s="346"/>
    </row>
    <row r="230" spans="1:7" ht="17.100000000000001" customHeight="1" x14ac:dyDescent="0.25">
      <c r="A230" s="347"/>
      <c r="B230" s="633" t="s">
        <v>1463</v>
      </c>
      <c r="C230" s="633"/>
      <c r="D230" s="450">
        <v>0.54</v>
      </c>
      <c r="E230" s="346"/>
      <c r="F230" s="216"/>
      <c r="G230" s="346"/>
    </row>
    <row r="231" spans="1:7" ht="17.100000000000001" customHeight="1" x14ac:dyDescent="0.25">
      <c r="A231" s="347"/>
      <c r="B231" s="630" t="s">
        <v>1464</v>
      </c>
      <c r="C231" s="630"/>
      <c r="D231" s="450">
        <v>0.23100000000000001</v>
      </c>
      <c r="E231" s="346"/>
      <c r="F231" s="216"/>
      <c r="G231" s="346"/>
    </row>
    <row r="232" spans="1:7" ht="17.100000000000001" customHeight="1" x14ac:dyDescent="0.25">
      <c r="A232" s="347"/>
      <c r="B232" s="630" t="s">
        <v>1465</v>
      </c>
      <c r="C232" s="630"/>
      <c r="D232" s="450">
        <v>0.11700000000000001</v>
      </c>
      <c r="E232" s="346"/>
      <c r="F232" s="216"/>
      <c r="G232" s="346"/>
    </row>
    <row r="233" spans="1:7" ht="17.100000000000001" customHeight="1" x14ac:dyDescent="0.25">
      <c r="A233" s="347"/>
      <c r="B233" s="630" t="s">
        <v>1466</v>
      </c>
      <c r="C233" s="630"/>
      <c r="D233" s="450">
        <v>7.5999999999999998E-2</v>
      </c>
      <c r="E233" s="346"/>
      <c r="F233" s="216"/>
      <c r="G233" s="346"/>
    </row>
    <row r="234" spans="1:7" ht="17.100000000000001" customHeight="1" x14ac:dyDescent="0.25">
      <c r="A234" s="347"/>
      <c r="B234" s="630" t="s">
        <v>1467</v>
      </c>
      <c r="C234" s="630"/>
      <c r="D234" s="450">
        <v>1.9E-2</v>
      </c>
      <c r="E234" s="346"/>
      <c r="F234" s="216"/>
      <c r="G234" s="346"/>
    </row>
    <row r="235" spans="1:7" ht="17.100000000000001" customHeight="1" x14ac:dyDescent="0.25">
      <c r="A235" s="347"/>
      <c r="B235" s="630" t="s">
        <v>1468</v>
      </c>
      <c r="C235" s="630"/>
      <c r="D235" s="450">
        <v>1.4E-2</v>
      </c>
      <c r="E235" s="346"/>
      <c r="F235" s="216"/>
      <c r="G235" s="346"/>
    </row>
    <row r="236" spans="1:7" ht="17.100000000000001" customHeight="1" x14ac:dyDescent="0.25">
      <c r="A236" s="347"/>
      <c r="B236" s="630" t="s">
        <v>1469</v>
      </c>
      <c r="C236" s="630"/>
      <c r="D236" s="450">
        <v>0</v>
      </c>
      <c r="E236" s="346"/>
      <c r="F236" s="216"/>
      <c r="G236" s="346"/>
    </row>
    <row r="237" spans="1:7" ht="17.100000000000001" customHeight="1" x14ac:dyDescent="0.25">
      <c r="A237" s="347"/>
      <c r="B237" s="630" t="s">
        <v>1470</v>
      </c>
      <c r="C237" s="630"/>
      <c r="D237" s="450">
        <v>0</v>
      </c>
      <c r="E237" s="346"/>
      <c r="F237" s="216"/>
      <c r="G237" s="346"/>
    </row>
    <row r="238" spans="1:7" ht="17.100000000000001" customHeight="1" x14ac:dyDescent="0.25">
      <c r="A238" s="347"/>
      <c r="B238" s="630" t="s">
        <v>1471</v>
      </c>
      <c r="C238" s="630"/>
      <c r="D238" s="450">
        <v>0</v>
      </c>
      <c r="E238" s="346"/>
      <c r="F238" s="216"/>
      <c r="G238" s="346"/>
    </row>
    <row r="239" spans="1:7" ht="17.100000000000001" customHeight="1" x14ac:dyDescent="0.25">
      <c r="A239" s="376"/>
      <c r="B239" s="631" t="s">
        <v>1429</v>
      </c>
      <c r="C239" s="632"/>
      <c r="D239" s="455">
        <f>SUM(D230:D238)</f>
        <v>0.997</v>
      </c>
      <c r="E239" s="346"/>
      <c r="F239" s="346"/>
      <c r="G239" s="346"/>
    </row>
    <row r="240" spans="1:7" x14ac:dyDescent="0.25">
      <c r="A240" s="331"/>
      <c r="B240" s="421"/>
      <c r="C240" s="421"/>
      <c r="D240" s="422"/>
      <c r="E240" s="333"/>
      <c r="F240" s="333"/>
      <c r="G240" s="333"/>
    </row>
    <row r="241" spans="1:8" x14ac:dyDescent="0.25">
      <c r="A241" s="347" t="s">
        <v>1472</v>
      </c>
      <c r="B241" s="624" t="s">
        <v>1473</v>
      </c>
      <c r="C241" s="625"/>
      <c r="D241" s="625"/>
      <c r="E241" s="538">
        <f>SUM(E234:E240)</f>
        <v>0</v>
      </c>
      <c r="F241" s="423"/>
      <c r="G241" s="346"/>
    </row>
    <row r="242" spans="1:8" x14ac:dyDescent="0.25">
      <c r="A242" s="347"/>
      <c r="B242" s="626" t="s">
        <v>1474</v>
      </c>
      <c r="C242" s="625"/>
      <c r="D242" s="625"/>
      <c r="E242" s="539">
        <f>SUM(E235:E241)</f>
        <v>0</v>
      </c>
      <c r="F242" s="216"/>
      <c r="G242" s="346"/>
    </row>
    <row r="243" spans="1:8" x14ac:dyDescent="0.25">
      <c r="A243" s="376"/>
      <c r="B243" s="346"/>
      <c r="C243" s="346"/>
      <c r="D243" s="346"/>
      <c r="E243" s="346"/>
      <c r="F243" s="346"/>
      <c r="G243" s="346"/>
    </row>
    <row r="244" spans="1:8" ht="18" x14ac:dyDescent="0.25">
      <c r="A244" s="376"/>
      <c r="B244" s="307" t="s">
        <v>1475</v>
      </c>
      <c r="C244" s="346"/>
      <c r="D244" s="346"/>
      <c r="E244" s="346"/>
      <c r="F244" s="346"/>
      <c r="G244" s="346"/>
    </row>
    <row r="245" spans="1:8" x14ac:dyDescent="0.25">
      <c r="A245" s="376"/>
      <c r="B245" s="398"/>
      <c r="C245" s="346"/>
      <c r="D245" s="346"/>
      <c r="E245" s="346"/>
      <c r="F245" s="346"/>
      <c r="G245" s="346"/>
    </row>
    <row r="246" spans="1:8" ht="16.5" x14ac:dyDescent="0.25">
      <c r="A246" s="424" t="s">
        <v>1476</v>
      </c>
      <c r="B246" s="425" t="s">
        <v>1477</v>
      </c>
      <c r="C246" s="426"/>
      <c r="D246" s="426"/>
      <c r="E246" s="426"/>
      <c r="F246" s="426"/>
      <c r="G246" s="346"/>
    </row>
    <row r="247" spans="1:8" ht="24.95" customHeight="1" x14ac:dyDescent="0.25">
      <c r="A247" s="424"/>
      <c r="B247" s="627" t="s">
        <v>1536</v>
      </c>
      <c r="C247" s="627"/>
      <c r="D247" s="627"/>
      <c r="E247" s="627"/>
      <c r="F247" s="627"/>
      <c r="G247" s="346"/>
    </row>
    <row r="248" spans="1:8" x14ac:dyDescent="0.25">
      <c r="A248" s="347"/>
      <c r="B248" s="398"/>
      <c r="C248" s="346"/>
      <c r="D248" s="346"/>
      <c r="E248" s="346"/>
      <c r="F248" s="346"/>
      <c r="G248" s="346"/>
    </row>
    <row r="249" spans="1:8" ht="21.95" customHeight="1" x14ac:dyDescent="0.25">
      <c r="A249" s="347"/>
      <c r="B249" s="398"/>
      <c r="C249" s="346"/>
      <c r="D249" s="359" t="s">
        <v>1147</v>
      </c>
      <c r="E249" s="340"/>
      <c r="F249" s="346"/>
      <c r="G249" s="346"/>
    </row>
    <row r="250" spans="1:8" ht="29.1" customHeight="1" x14ac:dyDescent="0.25">
      <c r="A250" s="347"/>
      <c r="B250" s="628" t="s">
        <v>1478</v>
      </c>
      <c r="C250" s="628"/>
      <c r="D250" s="443" t="s">
        <v>157</v>
      </c>
      <c r="E250" s="428"/>
      <c r="F250" s="388"/>
      <c r="G250" s="365"/>
      <c r="H250" t="str" cm="1">
        <f t="array" ref="H250">_xlfn.IFS($D$250="YES", "Yes", $D$250="yes", "Yes", $D$250="Yes", "Yes", $D$250="NO", "No", $D$250="no", "No", $D$250="No", "No")</f>
        <v>No</v>
      </c>
    </row>
    <row r="251" spans="1:8" ht="16.5" x14ac:dyDescent="0.25">
      <c r="A251" s="347"/>
      <c r="B251" s="427"/>
      <c r="C251" s="427"/>
      <c r="D251" s="429"/>
      <c r="E251" s="429"/>
      <c r="F251" s="429"/>
      <c r="G251" s="365"/>
    </row>
    <row r="252" spans="1:8" ht="16.5" x14ac:dyDescent="0.25">
      <c r="A252" s="347"/>
      <c r="B252" s="629" t="s">
        <v>1479</v>
      </c>
      <c r="C252" s="629"/>
      <c r="D252" s="464" t="s">
        <v>603</v>
      </c>
      <c r="E252" s="399"/>
      <c r="F252" s="346"/>
      <c r="G252" s="365"/>
    </row>
    <row r="253" spans="1:8" x14ac:dyDescent="0.25">
      <c r="A253" s="347"/>
      <c r="B253" s="388"/>
      <c r="C253" s="344"/>
      <c r="D253" s="344"/>
      <c r="E253" s="346"/>
      <c r="F253" s="346"/>
      <c r="G253" s="365"/>
    </row>
    <row r="254" spans="1:8" ht="23.1" customHeight="1" x14ac:dyDescent="0.25">
      <c r="A254" s="347"/>
      <c r="B254" s="388"/>
      <c r="C254" s="344"/>
      <c r="D254" s="359" t="s">
        <v>1147</v>
      </c>
      <c r="E254" s="340"/>
      <c r="F254" s="346"/>
      <c r="G254" s="365"/>
    </row>
    <row r="255" spans="1:8" ht="27" customHeight="1" x14ac:dyDescent="0.25">
      <c r="A255" s="347"/>
      <c r="B255" s="621" t="s">
        <v>1480</v>
      </c>
      <c r="C255" s="621"/>
      <c r="D255" s="443" t="s">
        <v>603</v>
      </c>
      <c r="E255" s="428"/>
      <c r="F255" s="335"/>
      <c r="G255" s="346"/>
      <c r="H255" t="e" cm="1">
        <f t="array" ref="H255">_xlfn.IFS($D$255="YES", "Yes", $D$255="yes", "Yes", $D$255="Yes", "Yes", $D$255="NO", "No", $D$255="no", "No", $D$255="No", "No")</f>
        <v>#N/A</v>
      </c>
    </row>
    <row r="256" spans="1:8" x14ac:dyDescent="0.25">
      <c r="A256" s="347"/>
      <c r="B256" s="391"/>
      <c r="C256" s="344"/>
      <c r="D256" s="344"/>
      <c r="E256" s="346"/>
      <c r="F256" s="340"/>
      <c r="G256" s="346"/>
    </row>
    <row r="257" spans="1:9" ht="24" customHeight="1" x14ac:dyDescent="0.25">
      <c r="A257" s="347"/>
      <c r="B257" s="622" t="s">
        <v>1481</v>
      </c>
      <c r="C257" s="622"/>
      <c r="D257" s="622"/>
      <c r="E257" s="622"/>
      <c r="F257" s="622"/>
      <c r="G257" s="346"/>
    </row>
    <row r="258" spans="1:9" x14ac:dyDescent="0.25">
      <c r="A258" s="344" t="s">
        <v>603</v>
      </c>
      <c r="B258" s="343" t="s">
        <v>1482</v>
      </c>
      <c r="C258" s="430"/>
      <c r="D258" s="344"/>
      <c r="E258" s="346"/>
      <c r="F258" s="340"/>
      <c r="G258" s="463" t="b">
        <v>1</v>
      </c>
      <c r="H258" t="str" cm="1">
        <f t="array" ref="H258">_xlfn.IFS($G$258=TRUE, "Same fee", $G$258=FALSE, "")</f>
        <v>Same fee</v>
      </c>
      <c r="I258" t="str">
        <f>_xlfn.CONCAT($H$258:$H$260)</f>
        <v>Same fee</v>
      </c>
    </row>
    <row r="259" spans="1:9" x14ac:dyDescent="0.25">
      <c r="A259" s="344"/>
      <c r="B259" s="343" t="s">
        <v>1483</v>
      </c>
      <c r="C259" s="430"/>
      <c r="D259" s="344"/>
      <c r="E259" s="346"/>
      <c r="F259" s="340"/>
      <c r="G259" s="442" t="b">
        <v>0</v>
      </c>
      <c r="H259" t="str" cm="1">
        <f t="array" ref="H259">_xlfn.IFS($G$259=TRUE, "Free", $G$259=FALSE, "")</f>
        <v/>
      </c>
    </row>
    <row r="260" spans="1:9" x14ac:dyDescent="0.25">
      <c r="A260" s="344"/>
      <c r="B260" s="343" t="s">
        <v>1484</v>
      </c>
      <c r="C260" s="430"/>
      <c r="D260" s="344"/>
      <c r="E260" s="346"/>
      <c r="F260" s="340"/>
      <c r="G260" s="442" t="b">
        <v>0</v>
      </c>
      <c r="H260" t="str" cm="1">
        <f t="array" ref="H260">_xlfn.IFS($G$260=TRUE, "Reduced", $G$260=FALSE, "")</f>
        <v/>
      </c>
    </row>
    <row r="261" spans="1:9" ht="21.95" customHeight="1" x14ac:dyDescent="0.25">
      <c r="A261" s="347"/>
      <c r="B261" s="388"/>
      <c r="C261" s="344"/>
      <c r="D261" s="359" t="s">
        <v>1147</v>
      </c>
      <c r="E261" s="340"/>
      <c r="F261" s="340"/>
      <c r="G261" s="441"/>
    </row>
    <row r="262" spans="1:9" ht="27.95" customHeight="1" x14ac:dyDescent="0.25">
      <c r="A262" s="347"/>
      <c r="B262" s="622" t="s">
        <v>1485</v>
      </c>
      <c r="C262" s="623"/>
      <c r="D262" s="443" t="s">
        <v>603</v>
      </c>
      <c r="E262" s="428"/>
      <c r="F262" s="340"/>
      <c r="G262" s="441"/>
      <c r="H262" t="e" cm="1">
        <f t="array" ref="H262">_xlfn.IFS($D$262="YES", "Yes", $D$262="yes", "Yes", $D$262="Yes", "Yes", $D$262="NO", "No", $D$262="no", "No", $D$262="No", "No")</f>
        <v>#N/A</v>
      </c>
    </row>
    <row r="263" spans="1:9" x14ac:dyDescent="0.25">
      <c r="A263" s="376"/>
      <c r="B263" s="391"/>
      <c r="C263" s="344"/>
      <c r="D263" s="344"/>
      <c r="E263" s="346"/>
      <c r="F263" s="340"/>
      <c r="G263" s="441"/>
    </row>
    <row r="264" spans="1:9" x14ac:dyDescent="0.25">
      <c r="A264" s="347" t="s">
        <v>1486</v>
      </c>
      <c r="B264" s="398" t="s">
        <v>1487</v>
      </c>
      <c r="C264" s="346"/>
      <c r="D264" s="346"/>
      <c r="E264" s="346"/>
      <c r="F264" s="346"/>
      <c r="G264" s="441"/>
    </row>
    <row r="265" spans="1:9" ht="23.1" customHeight="1" x14ac:dyDescent="0.25">
      <c r="A265" s="347"/>
      <c r="B265" s="388"/>
      <c r="C265" s="344"/>
      <c r="D265" s="359" t="s">
        <v>1147</v>
      </c>
      <c r="E265" s="340"/>
      <c r="F265" s="346"/>
      <c r="G265" s="441"/>
    </row>
    <row r="266" spans="1:9" ht="30" customHeight="1" x14ac:dyDescent="0.25">
      <c r="A266" s="347"/>
      <c r="B266" s="615" t="s">
        <v>1488</v>
      </c>
      <c r="C266" s="615"/>
      <c r="D266" s="443" t="s">
        <v>1985</v>
      </c>
      <c r="E266" s="428"/>
      <c r="F266" s="340"/>
      <c r="G266" s="441"/>
      <c r="H266" t="str" cm="1">
        <f t="array" ref="H266">_xlfn.IFS($D$266="YES", "Yes", $D$266="yes", "Yes", $D$266="Yes", "Yes", $D$266="NO", "No", $D$266="no", "No", $D$266="No", "No")</f>
        <v>Yes</v>
      </c>
    </row>
    <row r="267" spans="1:9" x14ac:dyDescent="0.25">
      <c r="A267" s="347"/>
      <c r="B267" s="388"/>
      <c r="C267" s="431"/>
      <c r="D267" s="346"/>
      <c r="E267" s="346"/>
      <c r="F267" s="346"/>
      <c r="G267" s="441"/>
    </row>
    <row r="268" spans="1:9" ht="18" customHeight="1" x14ac:dyDescent="0.25">
      <c r="A268" s="347"/>
      <c r="B268" s="432"/>
      <c r="C268" s="433" t="s">
        <v>1489</v>
      </c>
      <c r="D268" s="346"/>
      <c r="E268" s="346"/>
      <c r="F268" s="346"/>
      <c r="G268" s="441"/>
    </row>
    <row r="269" spans="1:9" ht="18" customHeight="1" x14ac:dyDescent="0.25">
      <c r="A269" s="347"/>
      <c r="B269" s="354" t="s">
        <v>1490</v>
      </c>
      <c r="C269" s="537">
        <v>44576</v>
      </c>
      <c r="D269" s="346"/>
      <c r="E269" s="346"/>
      <c r="F269" s="346"/>
      <c r="G269" s="441"/>
    </row>
    <row r="270" spans="1:9" ht="18" customHeight="1" x14ac:dyDescent="0.25">
      <c r="A270" s="347"/>
      <c r="B270" s="354" t="s">
        <v>491</v>
      </c>
      <c r="C270" s="537"/>
      <c r="D270" s="346"/>
      <c r="E270" s="346"/>
      <c r="F270" s="346"/>
      <c r="G270" s="441"/>
    </row>
    <row r="271" spans="1:9" x14ac:dyDescent="0.25">
      <c r="A271" s="347"/>
      <c r="B271" s="388"/>
      <c r="C271" s="431"/>
      <c r="D271" s="346"/>
      <c r="E271" s="346"/>
      <c r="F271" s="346"/>
      <c r="G271" s="441"/>
    </row>
    <row r="272" spans="1:9" x14ac:dyDescent="0.25">
      <c r="A272" s="376"/>
      <c r="B272" s="388"/>
      <c r="C272" s="346"/>
      <c r="D272" s="346"/>
      <c r="E272" s="346"/>
      <c r="F272" s="346"/>
      <c r="G272" s="441"/>
    </row>
    <row r="273" spans="1:10" ht="26.1" customHeight="1" x14ac:dyDescent="0.25">
      <c r="A273" s="347"/>
      <c r="B273" s="389"/>
      <c r="C273" s="346"/>
      <c r="D273" s="359" t="s">
        <v>1147</v>
      </c>
      <c r="E273" s="344"/>
      <c r="F273" s="344"/>
      <c r="G273" s="441"/>
    </row>
    <row r="274" spans="1:10" ht="26.1" customHeight="1" x14ac:dyDescent="0.25">
      <c r="A274" s="347" t="s">
        <v>1491</v>
      </c>
      <c r="B274" s="417" t="s">
        <v>1492</v>
      </c>
      <c r="C274" s="417"/>
      <c r="D274" s="369" t="s">
        <v>603</v>
      </c>
      <c r="E274" s="344"/>
      <c r="F274" s="344"/>
      <c r="G274" s="441"/>
      <c r="H274" t="e" cm="1">
        <f t="array" ref="H274">_xlfn.IFS($D$274="YES", "Yes", $D$274="yes", "Yes", $D$274="Yes", "Yes", $D$274="NO", "No", $D$274="no", "No", $D$274="No", "No")</f>
        <v>#N/A</v>
      </c>
    </row>
    <row r="275" spans="1:10" x14ac:dyDescent="0.25">
      <c r="A275" s="376"/>
      <c r="B275" s="346"/>
      <c r="C275" s="346"/>
      <c r="D275" s="346"/>
      <c r="E275" s="346"/>
      <c r="F275" s="346"/>
      <c r="G275" s="441"/>
    </row>
    <row r="276" spans="1:10" x14ac:dyDescent="0.25">
      <c r="A276" s="347" t="s">
        <v>1493</v>
      </c>
      <c r="B276" s="389" t="s">
        <v>1533</v>
      </c>
      <c r="C276" s="346"/>
      <c r="D276" s="346"/>
      <c r="E276" s="346"/>
      <c r="F276" s="346"/>
      <c r="G276" s="441"/>
    </row>
    <row r="277" spans="1:10" x14ac:dyDescent="0.25">
      <c r="A277" s="347"/>
      <c r="B277" s="389"/>
      <c r="C277" s="346"/>
      <c r="D277" s="346"/>
      <c r="E277" s="346"/>
      <c r="F277" s="346"/>
      <c r="G277" s="441"/>
    </row>
    <row r="278" spans="1:10" ht="17.100000000000001" customHeight="1" x14ac:dyDescent="0.25">
      <c r="A278" s="344"/>
      <c r="B278" s="343" t="s">
        <v>1494</v>
      </c>
      <c r="C278" s="456"/>
      <c r="D278" s="346"/>
      <c r="E278" s="346"/>
      <c r="F278" s="346"/>
      <c r="G278" s="442" t="b">
        <v>0</v>
      </c>
      <c r="H278" t="str" cm="1">
        <f t="array" ref="H278">_xlfn.IFS($G$278=TRUE, "Yes", $G$278=FALSE, "No")</f>
        <v>No</v>
      </c>
    </row>
    <row r="279" spans="1:10" ht="17.100000000000001" customHeight="1" x14ac:dyDescent="0.25">
      <c r="A279" s="344"/>
      <c r="B279" s="337" t="s">
        <v>1495</v>
      </c>
      <c r="C279" s="457">
        <v>44643</v>
      </c>
      <c r="D279" s="346"/>
      <c r="E279" s="346"/>
      <c r="F279" s="346"/>
      <c r="G279" s="442" t="b">
        <v>0</v>
      </c>
    </row>
    <row r="280" spans="1:10" ht="17.100000000000001" customHeight="1" x14ac:dyDescent="0.25">
      <c r="A280" s="344"/>
      <c r="B280" s="337" t="s">
        <v>1496</v>
      </c>
      <c r="C280" s="458"/>
      <c r="D280" s="346"/>
      <c r="E280" s="346"/>
      <c r="F280" s="346"/>
      <c r="G280" s="442" t="b">
        <v>0</v>
      </c>
    </row>
    <row r="281" spans="1:10" x14ac:dyDescent="0.25">
      <c r="A281" s="376"/>
      <c r="B281" s="346"/>
      <c r="C281" s="346"/>
      <c r="D281" s="346"/>
      <c r="E281" s="346"/>
      <c r="F281" s="346"/>
      <c r="G281" s="441"/>
    </row>
    <row r="282" spans="1:10" x14ac:dyDescent="0.25">
      <c r="A282" s="347" t="s">
        <v>1497</v>
      </c>
      <c r="B282" s="398" t="s">
        <v>1534</v>
      </c>
      <c r="C282" s="346"/>
      <c r="D282" s="346"/>
      <c r="E282" s="346"/>
      <c r="F282" s="346"/>
      <c r="G282" s="441"/>
    </row>
    <row r="283" spans="1:10" x14ac:dyDescent="0.25">
      <c r="A283" s="347"/>
      <c r="B283" s="375"/>
      <c r="C283" s="431"/>
      <c r="D283" s="346"/>
      <c r="E283" s="346"/>
      <c r="F283" s="346"/>
      <c r="G283" s="441"/>
      <c r="J283" t="str">
        <f>_xlfn.CONCAT(H284:H286)</f>
        <v/>
      </c>
    </row>
    <row r="284" spans="1:10" ht="17.100000000000001" customHeight="1" x14ac:dyDescent="0.25">
      <c r="A284" s="344"/>
      <c r="B284" s="343" t="s">
        <v>1498</v>
      </c>
      <c r="C284" s="459">
        <v>44682</v>
      </c>
      <c r="D284" s="346"/>
      <c r="E284" s="346"/>
      <c r="F284" s="346"/>
      <c r="G284" s="442" t="b">
        <v>0</v>
      </c>
      <c r="H284" t="str" cm="1">
        <f t="array" ref="H284">_xlfn.IFS(G284=TRUE, "Must reply by set date", G284=FALSE, "")</f>
        <v/>
      </c>
    </row>
    <row r="285" spans="1:10" ht="17.100000000000001" customHeight="1" x14ac:dyDescent="0.25">
      <c r="A285" s="344"/>
      <c r="B285" s="337" t="s">
        <v>1499</v>
      </c>
      <c r="C285" s="457"/>
      <c r="D285" s="346"/>
      <c r="E285" s="346"/>
      <c r="F285" s="346"/>
      <c r="G285" s="442" t="b">
        <v>0</v>
      </c>
      <c r="H285" t="str" cm="1">
        <f t="array" ref="H285">_xlfn.IFS(G285=TRUE, "No set date", G285=FALSE, "")</f>
        <v/>
      </c>
    </row>
    <row r="286" spans="1:10" ht="17.100000000000001" customHeight="1" x14ac:dyDescent="0.25">
      <c r="A286" s="344"/>
      <c r="B286" s="337" t="s">
        <v>1500</v>
      </c>
      <c r="C286" s="458"/>
      <c r="D286" s="338" t="s">
        <v>1501</v>
      </c>
      <c r="E286" s="346"/>
      <c r="F286" s="346"/>
      <c r="G286" s="442" t="b">
        <v>0</v>
      </c>
      <c r="H286" t="str" cm="1">
        <f t="array" ref="H286">_xlfn.IFS(G286=TRUE, "Must reply by May 1st or within set number of weeks if notified thereafter", G286=FALSE, "")</f>
        <v/>
      </c>
    </row>
    <row r="287" spans="1:10" ht="17.100000000000001" customHeight="1" x14ac:dyDescent="0.25">
      <c r="A287" s="344"/>
      <c r="B287" s="337" t="s">
        <v>425</v>
      </c>
      <c r="C287" s="458"/>
      <c r="D287" s="346"/>
      <c r="E287" s="346"/>
      <c r="F287" s="346"/>
      <c r="G287" s="442" t="b">
        <v>0</v>
      </c>
    </row>
    <row r="288" spans="1:10" ht="17.100000000000001" customHeight="1" x14ac:dyDescent="0.25">
      <c r="A288" s="347"/>
      <c r="B288" s="618"/>
      <c r="C288" s="619"/>
      <c r="D288" s="431"/>
      <c r="E288" s="346"/>
      <c r="F288" s="346"/>
    </row>
    <row r="289" spans="1:8" ht="17.100000000000001" customHeight="1" x14ac:dyDescent="0.25">
      <c r="A289" s="347"/>
      <c r="B289" s="429" t="s">
        <v>1502</v>
      </c>
      <c r="C289" s="459"/>
      <c r="D289" s="434"/>
      <c r="E289" s="346"/>
      <c r="F289" s="346"/>
    </row>
    <row r="290" spans="1:8" ht="29.1" customHeight="1" x14ac:dyDescent="0.25">
      <c r="A290" s="347"/>
      <c r="B290" s="388" t="s">
        <v>1503</v>
      </c>
      <c r="C290" s="221"/>
      <c r="D290" s="346"/>
      <c r="E290" s="346"/>
      <c r="F290" s="346"/>
    </row>
    <row r="291" spans="1:8" ht="17.100000000000001" customHeight="1" x14ac:dyDescent="0.25">
      <c r="A291" s="347"/>
      <c r="B291" s="388"/>
      <c r="C291" s="346"/>
      <c r="D291" s="346"/>
      <c r="E291" s="346"/>
      <c r="F291" s="346"/>
    </row>
    <row r="292" spans="1:8" ht="17.100000000000001" customHeight="1" x14ac:dyDescent="0.25">
      <c r="A292" s="347"/>
      <c r="B292" s="429" t="s">
        <v>1504</v>
      </c>
      <c r="C292" s="435"/>
      <c r="D292" s="346"/>
      <c r="E292" s="346"/>
      <c r="F292" s="346"/>
    </row>
    <row r="293" spans="1:8" ht="3.95" customHeight="1" x14ac:dyDescent="0.25">
      <c r="A293" s="347"/>
      <c r="B293" s="429"/>
      <c r="C293" s="435"/>
      <c r="D293" s="346"/>
      <c r="E293" s="346"/>
      <c r="F293" s="346"/>
    </row>
    <row r="294" spans="1:8" ht="17.100000000000001" customHeight="1" x14ac:dyDescent="0.25">
      <c r="A294" s="344"/>
      <c r="B294" s="337" t="s">
        <v>1505</v>
      </c>
      <c r="C294" s="435"/>
      <c r="D294" s="346"/>
      <c r="E294" s="346"/>
      <c r="F294" s="346"/>
      <c r="G294" s="189">
        <v>0</v>
      </c>
      <c r="H294" t="e" cm="1">
        <f t="array" ref="H294">_xlfn.IFS($G$294=1, "Yes, in full", $G$294=2, "Yes, in part", $G$294=3, "No")</f>
        <v>#N/A</v>
      </c>
    </row>
    <row r="295" spans="1:8" ht="17.100000000000001" customHeight="1" x14ac:dyDescent="0.25">
      <c r="A295" s="344"/>
      <c r="B295" s="337" t="s">
        <v>1506</v>
      </c>
      <c r="C295" s="435"/>
      <c r="D295" s="346"/>
      <c r="E295" s="346"/>
      <c r="F295" s="346"/>
    </row>
    <row r="296" spans="1:8" ht="17.100000000000001" customHeight="1" x14ac:dyDescent="0.25">
      <c r="A296" s="344"/>
      <c r="B296" s="337" t="s">
        <v>157</v>
      </c>
      <c r="C296" s="435"/>
      <c r="D296" s="346"/>
      <c r="E296" s="346"/>
      <c r="F296" s="346"/>
    </row>
    <row r="297" spans="1:8" x14ac:dyDescent="0.25">
      <c r="A297" s="376"/>
      <c r="B297" s="346"/>
      <c r="C297" s="346"/>
      <c r="D297" s="346"/>
      <c r="E297" s="346"/>
      <c r="F297" s="346"/>
    </row>
    <row r="298" spans="1:8" x14ac:dyDescent="0.25">
      <c r="A298" s="347" t="s">
        <v>1507</v>
      </c>
      <c r="B298" s="398" t="s">
        <v>1508</v>
      </c>
      <c r="C298" s="346"/>
      <c r="D298" s="346"/>
      <c r="E298" s="346"/>
      <c r="F298" s="346"/>
    </row>
    <row r="299" spans="1:8" ht="26.1" customHeight="1" x14ac:dyDescent="0.25">
      <c r="A299" s="347"/>
      <c r="B299" s="389"/>
      <c r="C299" s="346"/>
      <c r="D299" s="359" t="s">
        <v>1147</v>
      </c>
      <c r="E299" s="344"/>
      <c r="F299" s="344"/>
    </row>
    <row r="300" spans="1:8" ht="42" customHeight="1" x14ac:dyDescent="0.25">
      <c r="A300" s="347"/>
      <c r="B300" s="391" t="s">
        <v>1509</v>
      </c>
      <c r="C300" s="391"/>
      <c r="D300" s="460" t="s">
        <v>1985</v>
      </c>
      <c r="E300" s="344"/>
      <c r="F300" s="344"/>
      <c r="H300" t="str" cm="1">
        <f t="array" ref="H300">_xlfn.IFS($D$300="YES", "Yes", $D$300="yes", "Yes", $D$300="Yes", "Yes", $D$300="NO", "No", $D$300="no", "No", $D$300="No", "No")</f>
        <v>Yes</v>
      </c>
    </row>
    <row r="301" spans="1:8" ht="30" customHeight="1" x14ac:dyDescent="0.25">
      <c r="A301" s="347"/>
      <c r="B301" s="620" t="s">
        <v>1510</v>
      </c>
      <c r="C301" s="620"/>
      <c r="D301" s="456" t="s">
        <v>1990</v>
      </c>
      <c r="E301" s="346"/>
      <c r="F301" s="340"/>
    </row>
    <row r="302" spans="1:8" x14ac:dyDescent="0.25">
      <c r="A302" s="376"/>
      <c r="B302" s="346"/>
      <c r="C302" s="346"/>
      <c r="D302" s="346"/>
      <c r="E302" s="346"/>
      <c r="F302" s="346"/>
    </row>
    <row r="303" spans="1:8" x14ac:dyDescent="0.25">
      <c r="A303" s="347" t="s">
        <v>1511</v>
      </c>
      <c r="B303" s="398" t="s">
        <v>1512</v>
      </c>
      <c r="C303" s="346"/>
      <c r="D303" s="346"/>
      <c r="E303" s="346"/>
      <c r="F303" s="346"/>
    </row>
    <row r="304" spans="1:8" ht="24" customHeight="1" x14ac:dyDescent="0.25">
      <c r="A304" s="347"/>
      <c r="B304" s="617"/>
      <c r="C304" s="617"/>
      <c r="D304" s="359" t="s">
        <v>1147</v>
      </c>
      <c r="E304" s="344"/>
      <c r="F304" s="344"/>
    </row>
    <row r="305" spans="1:8" ht="45" customHeight="1" x14ac:dyDescent="0.25">
      <c r="A305" s="347"/>
      <c r="B305" s="615" t="s">
        <v>1513</v>
      </c>
      <c r="C305" s="615"/>
      <c r="D305" s="460" t="s">
        <v>157</v>
      </c>
      <c r="E305" s="344"/>
      <c r="F305" s="344"/>
      <c r="H305" t="str" cm="1">
        <f t="array" ref="H305">_xlfn.IFS($D$305="YES", "Yes", $D$305="yes", "Yes", $D$305="Yes", "Yes", $D$305="NO", "No", $D$305="no", "No", $D$305="No", "No")</f>
        <v>No</v>
      </c>
    </row>
    <row r="306" spans="1:8" x14ac:dyDescent="0.25">
      <c r="A306" s="376"/>
      <c r="B306" s="346"/>
      <c r="C306" s="346"/>
      <c r="D306" s="346"/>
      <c r="E306" s="346"/>
      <c r="F306" s="346"/>
    </row>
    <row r="307" spans="1:8" x14ac:dyDescent="0.25">
      <c r="A307" s="347" t="s">
        <v>1514</v>
      </c>
      <c r="B307" s="436" t="s">
        <v>1535</v>
      </c>
      <c r="C307" s="429"/>
      <c r="D307" s="437"/>
      <c r="E307" s="437"/>
      <c r="F307" s="437"/>
    </row>
    <row r="308" spans="1:8" x14ac:dyDescent="0.25">
      <c r="A308" s="376"/>
      <c r="B308" s="346"/>
      <c r="C308" s="346"/>
      <c r="D308" s="346"/>
      <c r="E308" s="346"/>
      <c r="F308" s="346"/>
    </row>
    <row r="309" spans="1:8" ht="18" x14ac:dyDescent="0.25">
      <c r="A309" s="376"/>
      <c r="B309" s="307" t="s">
        <v>1515</v>
      </c>
      <c r="C309" s="346"/>
      <c r="D309" s="346"/>
      <c r="E309" s="346"/>
      <c r="F309" s="346"/>
    </row>
    <row r="310" spans="1:8" x14ac:dyDescent="0.25">
      <c r="A310" s="376"/>
      <c r="B310" s="398"/>
      <c r="C310" s="346"/>
      <c r="D310" s="346"/>
      <c r="E310" s="346"/>
      <c r="F310" s="346"/>
    </row>
    <row r="311" spans="1:8" x14ac:dyDescent="0.25">
      <c r="A311" s="347" t="s">
        <v>1516</v>
      </c>
      <c r="B311" s="398" t="s">
        <v>1517</v>
      </c>
      <c r="C311" s="346"/>
      <c r="D311" s="346"/>
      <c r="E311" s="346"/>
      <c r="F311" s="346"/>
    </row>
    <row r="312" spans="1:8" ht="27" customHeight="1" x14ac:dyDescent="0.25">
      <c r="A312" s="347"/>
      <c r="B312" s="389"/>
      <c r="C312" s="346"/>
      <c r="D312" s="359" t="s">
        <v>1147</v>
      </c>
      <c r="E312" s="344"/>
      <c r="F312" s="344"/>
    </row>
    <row r="313" spans="1:8" ht="57" customHeight="1" x14ac:dyDescent="0.25">
      <c r="A313" s="347"/>
      <c r="B313" s="615" t="s">
        <v>1518</v>
      </c>
      <c r="C313" s="615"/>
      <c r="D313" s="369" t="s">
        <v>603</v>
      </c>
      <c r="E313" s="344"/>
      <c r="F313" s="344"/>
      <c r="H313" t="e" cm="1">
        <f t="array" ref="H313">_xlfn.IFS($D$313="YES", "Yes", $D$313="yes", "Yes", $D$313="Yes", "Yes", $D$313="NO", "No", $D$313="no", "No", $D$313="No", "No")</f>
        <v>#N/A</v>
      </c>
    </row>
    <row r="314" spans="1:8" ht="18" customHeight="1" x14ac:dyDescent="0.25">
      <c r="A314" s="347"/>
      <c r="B314" s="615" t="s">
        <v>1519</v>
      </c>
      <c r="C314" s="615"/>
      <c r="D314" s="615"/>
      <c r="E314" s="344"/>
      <c r="F314" s="344"/>
    </row>
    <row r="315" spans="1:8" ht="18" customHeight="1" x14ac:dyDescent="0.25">
      <c r="A315" s="347"/>
      <c r="B315" s="438" t="s">
        <v>1520</v>
      </c>
      <c r="C315" s="438"/>
      <c r="D315" s="461">
        <v>44880</v>
      </c>
      <c r="E315" s="439"/>
      <c r="F315" s="344"/>
    </row>
    <row r="316" spans="1:8" ht="18" customHeight="1" x14ac:dyDescent="0.25">
      <c r="A316" s="347"/>
      <c r="B316" s="438" t="s">
        <v>1521</v>
      </c>
      <c r="C316" s="438"/>
      <c r="D316" s="461">
        <v>44910</v>
      </c>
      <c r="E316" s="439"/>
      <c r="F316" s="344"/>
    </row>
    <row r="317" spans="1:8" ht="18" customHeight="1" x14ac:dyDescent="0.25">
      <c r="A317" s="347"/>
      <c r="B317" s="438" t="s">
        <v>1522</v>
      </c>
      <c r="C317" s="438"/>
      <c r="D317" s="461">
        <v>44576</v>
      </c>
      <c r="E317" s="439"/>
      <c r="F317" s="344"/>
    </row>
    <row r="318" spans="1:8" ht="18" customHeight="1" x14ac:dyDescent="0.25">
      <c r="A318" s="347"/>
      <c r="B318" s="438" t="s">
        <v>1523</v>
      </c>
      <c r="C318" s="438"/>
      <c r="D318" s="461">
        <v>44593</v>
      </c>
      <c r="E318" s="439"/>
      <c r="F318" s="344"/>
    </row>
    <row r="319" spans="1:8" x14ac:dyDescent="0.25">
      <c r="A319" s="347"/>
      <c r="B319" s="391"/>
      <c r="C319" s="391"/>
      <c r="D319" s="431"/>
      <c r="E319" s="431"/>
      <c r="F319" s="344"/>
    </row>
    <row r="320" spans="1:8" ht="15.95" customHeight="1" x14ac:dyDescent="0.25">
      <c r="A320" s="347"/>
      <c r="B320" s="417" t="s">
        <v>1925</v>
      </c>
      <c r="C320" s="417"/>
      <c r="D320" s="344"/>
      <c r="E320" s="344"/>
      <c r="F320" s="344"/>
    </row>
    <row r="321" spans="1:8" ht="15.95" customHeight="1" x14ac:dyDescent="0.25">
      <c r="A321" s="347"/>
      <c r="B321" s="391" t="s">
        <v>1524</v>
      </c>
      <c r="C321" s="391"/>
      <c r="D321" s="461"/>
      <c r="E321" s="439"/>
      <c r="F321" s="344"/>
    </row>
    <row r="322" spans="1:8" ht="29.1" customHeight="1" x14ac:dyDescent="0.25">
      <c r="A322" s="347"/>
      <c r="B322" s="391" t="s">
        <v>1525</v>
      </c>
      <c r="C322" s="391"/>
      <c r="D322" s="461"/>
      <c r="E322" s="439"/>
      <c r="F322" s="344"/>
    </row>
    <row r="323" spans="1:8" x14ac:dyDescent="0.25">
      <c r="A323" s="347"/>
      <c r="B323" s="615" t="s">
        <v>1526</v>
      </c>
      <c r="C323" s="615"/>
      <c r="D323" s="615"/>
      <c r="E323" s="615"/>
      <c r="F323" s="615"/>
    </row>
    <row r="324" spans="1:8" x14ac:dyDescent="0.25">
      <c r="A324" s="347"/>
      <c r="B324" s="616"/>
      <c r="C324" s="616"/>
      <c r="D324" s="616"/>
      <c r="E324" s="616"/>
      <c r="F324" s="616"/>
    </row>
    <row r="325" spans="1:8" x14ac:dyDescent="0.25">
      <c r="A325" s="376"/>
      <c r="B325" s="346"/>
      <c r="C325" s="346"/>
      <c r="D325" s="346"/>
      <c r="E325" s="346"/>
      <c r="F325" s="346"/>
    </row>
    <row r="326" spans="1:8" x14ac:dyDescent="0.25">
      <c r="A326" s="376"/>
      <c r="B326" s="346"/>
      <c r="C326" s="346"/>
      <c r="D326" s="346"/>
      <c r="E326" s="346"/>
      <c r="F326" s="346"/>
    </row>
    <row r="327" spans="1:8" x14ac:dyDescent="0.25">
      <c r="A327" s="347" t="s">
        <v>1527</v>
      </c>
      <c r="B327" s="398" t="s">
        <v>1528</v>
      </c>
      <c r="C327" s="346"/>
      <c r="D327" s="346"/>
      <c r="E327" s="346"/>
      <c r="F327" s="346"/>
    </row>
    <row r="328" spans="1:8" ht="24" customHeight="1" x14ac:dyDescent="0.25">
      <c r="A328" s="347"/>
      <c r="B328" s="389"/>
      <c r="C328" s="346"/>
      <c r="D328" s="359" t="s">
        <v>1147</v>
      </c>
      <c r="E328" s="344"/>
      <c r="F328" s="344"/>
    </row>
    <row r="329" spans="1:8" ht="45" customHeight="1" x14ac:dyDescent="0.25">
      <c r="A329" s="347"/>
      <c r="B329" s="615" t="s">
        <v>1529</v>
      </c>
      <c r="C329" s="615"/>
      <c r="D329" s="460" t="s">
        <v>157</v>
      </c>
      <c r="E329" s="344"/>
      <c r="F329" s="344"/>
      <c r="H329" t="str" cm="1">
        <f t="array" ref="H329">_xlfn.IFS($D$329="YES", "Yes", $D$329="yes", "Yes", $D$329="Yes", "Yes", $D$329="NO", "No", $D$329="no", "No", $D$329="No", "No")</f>
        <v>No</v>
      </c>
    </row>
    <row r="330" spans="1:8" x14ac:dyDescent="0.25">
      <c r="A330" s="347"/>
      <c r="B330" s="613" t="s">
        <v>1519</v>
      </c>
      <c r="C330" s="613"/>
      <c r="D330" s="613"/>
      <c r="E330" s="344"/>
      <c r="F330" s="346"/>
    </row>
    <row r="331" spans="1:8" ht="24.95" customHeight="1" x14ac:dyDescent="0.25">
      <c r="A331" s="347"/>
      <c r="B331" s="614" t="s">
        <v>1530</v>
      </c>
      <c r="C331" s="614"/>
      <c r="D331" s="461"/>
      <c r="E331" s="431"/>
      <c r="F331" s="346"/>
    </row>
    <row r="332" spans="1:8" ht="33" customHeight="1" x14ac:dyDescent="0.25">
      <c r="A332" s="347"/>
      <c r="B332" s="614" t="s">
        <v>1531</v>
      </c>
      <c r="C332" s="614"/>
      <c r="D332" s="461"/>
      <c r="E332" s="431"/>
      <c r="F332" s="346"/>
    </row>
    <row r="333" spans="1:8" x14ac:dyDescent="0.25">
      <c r="A333" s="376"/>
      <c r="B333" s="346"/>
      <c r="C333" s="346"/>
      <c r="D333" s="346"/>
      <c r="E333" s="346"/>
      <c r="F333" s="346"/>
    </row>
    <row r="334" spans="1:8" ht="27.95" customHeight="1" x14ac:dyDescent="0.25">
      <c r="A334" s="376"/>
      <c r="B334" s="346"/>
      <c r="C334" s="346"/>
      <c r="D334" s="359" t="s">
        <v>1147</v>
      </c>
      <c r="E334" s="344"/>
      <c r="F334" s="344"/>
    </row>
    <row r="335" spans="1:8" ht="36.950000000000003" customHeight="1" x14ac:dyDescent="0.25">
      <c r="A335" s="347"/>
      <c r="B335" s="357" t="s">
        <v>1532</v>
      </c>
      <c r="C335" s="440"/>
      <c r="D335" s="460" t="s">
        <v>603</v>
      </c>
      <c r="E335" s="344"/>
      <c r="F335" s="344"/>
      <c r="H335" t="e" cm="1">
        <f t="array" ref="H335">_xlfn.IFS($D$335="YES", "Yes", $D$335="yes", "Yes", $D$335="Yes", "Yes", $D$335="NO", "No", $D$335="no", "No", $D$335="No", "No")</f>
        <v>#N/A</v>
      </c>
    </row>
    <row r="336" spans="1:8" x14ac:dyDescent="0.25">
      <c r="A336" s="376"/>
      <c r="B336" s="346"/>
      <c r="C336" s="346"/>
      <c r="D336" s="346"/>
      <c r="E336" s="346"/>
      <c r="F336" s="346"/>
    </row>
    <row r="337" spans="1:6" x14ac:dyDescent="0.25">
      <c r="A337" s="331"/>
      <c r="B337" s="462"/>
      <c r="C337" s="462"/>
      <c r="D337" s="462"/>
      <c r="E337" s="462"/>
      <c r="F337" s="462"/>
    </row>
    <row r="338" spans="1:6" x14ac:dyDescent="0.25">
      <c r="A338" s="331"/>
      <c r="B338" s="462"/>
      <c r="C338" s="462"/>
      <c r="D338" s="462"/>
      <c r="E338" s="462"/>
      <c r="F338" s="462"/>
    </row>
    <row r="339" spans="1:6" x14ac:dyDescent="0.25">
      <c r="A339" s="331"/>
      <c r="B339" s="462"/>
      <c r="C339" s="462"/>
      <c r="D339" s="462"/>
      <c r="E339" s="462"/>
      <c r="F339" s="462"/>
    </row>
    <row r="340" spans="1:6" x14ac:dyDescent="0.25">
      <c r="A340" s="331"/>
      <c r="B340" s="462"/>
      <c r="C340" s="462"/>
      <c r="D340" s="462"/>
      <c r="E340" s="462"/>
      <c r="F340" s="462"/>
    </row>
    <row r="341" spans="1:6" x14ac:dyDescent="0.25">
      <c r="A341" s="331"/>
      <c r="B341" s="462"/>
      <c r="C341" s="462"/>
      <c r="D341" s="462"/>
      <c r="E341" s="462"/>
      <c r="F341" s="462"/>
    </row>
    <row r="342" spans="1:6" x14ac:dyDescent="0.25">
      <c r="B342" s="163"/>
      <c r="C342" s="163"/>
      <c r="D342" s="163"/>
      <c r="E342" s="163"/>
      <c r="F342" s="163"/>
    </row>
    <row r="343" spans="1:6" x14ac:dyDescent="0.25">
      <c r="B343" s="163"/>
      <c r="C343" s="163"/>
      <c r="D343" s="163"/>
      <c r="E343" s="163"/>
      <c r="F343" s="163"/>
    </row>
    <row r="344" spans="1:6" x14ac:dyDescent="0.25">
      <c r="B344" s="163"/>
      <c r="C344" s="163"/>
      <c r="D344" s="163"/>
      <c r="E344" s="163"/>
      <c r="F344" s="163"/>
    </row>
  </sheetData>
  <sheetProtection algorithmName="SHA-512" hashValue="zLwXEwl9LSZuIfgjfJ/zmu+gOy7Fd//InTrn1A3mtNtjYJkPqVMXB/d+JA3els8YjgDS0tJJ0KvfvjXka8j29Q==" saltValue="Pu9ShoeJqJbszYeYkrMC1w==" spinCount="100000" sheet="1" objects="1" scenarios="1"/>
  <mergeCells count="125">
    <mergeCell ref="B7:F7"/>
    <mergeCell ref="B11:D11"/>
    <mergeCell ref="B12:D12"/>
    <mergeCell ref="B15:D15"/>
    <mergeCell ref="A1:F1"/>
    <mergeCell ref="A3:A4"/>
    <mergeCell ref="B3:F4"/>
    <mergeCell ref="B5:F5"/>
    <mergeCell ref="B6:F6"/>
    <mergeCell ref="B13:D13"/>
    <mergeCell ref="B8:E8"/>
    <mergeCell ref="B9:F9"/>
    <mergeCell ref="B16:D16"/>
    <mergeCell ref="B19:D19"/>
    <mergeCell ref="B42:D42"/>
    <mergeCell ref="B22:D22"/>
    <mergeCell ref="B23:D23"/>
    <mergeCell ref="B28:D28"/>
    <mergeCell ref="B29:D29"/>
    <mergeCell ref="B30:D30"/>
    <mergeCell ref="B32:F32"/>
    <mergeCell ref="B33:F33"/>
    <mergeCell ref="B20:D20"/>
    <mergeCell ref="B36:C36"/>
    <mergeCell ref="B38:D38"/>
    <mergeCell ref="B40:D40"/>
    <mergeCell ref="B41:D41"/>
    <mergeCell ref="B17:D17"/>
    <mergeCell ref="B25:D25"/>
    <mergeCell ref="B26:D26"/>
    <mergeCell ref="B56:D56"/>
    <mergeCell ref="B130:G130"/>
    <mergeCell ref="B43:D43"/>
    <mergeCell ref="B44:D44"/>
    <mergeCell ref="B46:C46"/>
    <mergeCell ref="B47:C47"/>
    <mergeCell ref="B59:F59"/>
    <mergeCell ref="B127:D127"/>
    <mergeCell ref="B128:D128"/>
    <mergeCell ref="B65:F65"/>
    <mergeCell ref="B66:D66"/>
    <mergeCell ref="B67:D67"/>
    <mergeCell ref="B97:D97"/>
    <mergeCell ref="B98:D99"/>
    <mergeCell ref="B118:D118"/>
    <mergeCell ref="B119:D119"/>
    <mergeCell ref="B120:D120"/>
    <mergeCell ref="B122:G124"/>
    <mergeCell ref="B126:D126"/>
    <mergeCell ref="B105:D105"/>
    <mergeCell ref="B107:F107"/>
    <mergeCell ref="B108:B109"/>
    <mergeCell ref="C108:G108"/>
    <mergeCell ref="B116:G116"/>
    <mergeCell ref="B68:D68"/>
    <mergeCell ref="B69:D69"/>
    <mergeCell ref="B71:F71"/>
    <mergeCell ref="B73:F73"/>
    <mergeCell ref="B104:D104"/>
    <mergeCell ref="B169:F169"/>
    <mergeCell ref="B175:G176"/>
    <mergeCell ref="B189:G189"/>
    <mergeCell ref="C141:D141"/>
    <mergeCell ref="C142:D142"/>
    <mergeCell ref="B164:F164"/>
    <mergeCell ref="B165:F165"/>
    <mergeCell ref="B166:F166"/>
    <mergeCell ref="B167:F167"/>
    <mergeCell ref="B168:F168"/>
    <mergeCell ref="B150:F150"/>
    <mergeCell ref="B152:D152"/>
    <mergeCell ref="C157:F157"/>
    <mergeCell ref="B161:F161"/>
    <mergeCell ref="B163:F163"/>
    <mergeCell ref="B144:E144"/>
    <mergeCell ref="B145:E145"/>
    <mergeCell ref="B147:C148"/>
    <mergeCell ref="D147:F148"/>
    <mergeCell ref="B223:D223"/>
    <mergeCell ref="B224:D224"/>
    <mergeCell ref="B225:D225"/>
    <mergeCell ref="B227:F227"/>
    <mergeCell ref="B229:C229"/>
    <mergeCell ref="B218:F218"/>
    <mergeCell ref="B219:D219"/>
    <mergeCell ref="B220:D220"/>
    <mergeCell ref="B221:D221"/>
    <mergeCell ref="B222:D222"/>
    <mergeCell ref="B247:F247"/>
    <mergeCell ref="B250:C250"/>
    <mergeCell ref="B252:C252"/>
    <mergeCell ref="B235:C235"/>
    <mergeCell ref="B236:C236"/>
    <mergeCell ref="B237:C237"/>
    <mergeCell ref="B238:C238"/>
    <mergeCell ref="B239:C239"/>
    <mergeCell ref="B230:C230"/>
    <mergeCell ref="B231:C231"/>
    <mergeCell ref="B232:C232"/>
    <mergeCell ref="B233:C233"/>
    <mergeCell ref="B234:C234"/>
    <mergeCell ref="Q126:S126"/>
    <mergeCell ref="Q127:S127"/>
    <mergeCell ref="Q128:S128"/>
    <mergeCell ref="Q119:S119"/>
    <mergeCell ref="Q120:S120"/>
    <mergeCell ref="Q121:S121"/>
    <mergeCell ref="B330:D330"/>
    <mergeCell ref="B331:C331"/>
    <mergeCell ref="B332:C332"/>
    <mergeCell ref="B329:C329"/>
    <mergeCell ref="B323:F323"/>
    <mergeCell ref="B324:F324"/>
    <mergeCell ref="B314:D314"/>
    <mergeCell ref="B313:C313"/>
    <mergeCell ref="B305:C305"/>
    <mergeCell ref="B304:C304"/>
    <mergeCell ref="B288:C288"/>
    <mergeCell ref="B301:C301"/>
    <mergeCell ref="B255:C255"/>
    <mergeCell ref="B257:F257"/>
    <mergeCell ref="B262:C262"/>
    <mergeCell ref="B266:C266"/>
    <mergeCell ref="B241:D241"/>
    <mergeCell ref="B242:D242"/>
  </mergeCells>
  <dataValidations count="2">
    <dataValidation type="textLength" operator="lessThanOrEqual" allowBlank="1" showInputMessage="1" showErrorMessage="1" sqref="E36 E45:E47 C142:D142 D250 D255 D262 D266 D274 D300 D305 D313 D329 D335" xr:uid="{00000000-0002-0000-0300-000000000000}">
      <formula1>3</formula1>
    </dataValidation>
    <dataValidation type="textLength" allowBlank="1" showInputMessage="1" showErrorMessage="1" sqref="E105" xr:uid="{00000000-0002-0000-0300-000001000000}">
      <formula1>2</formula1>
      <formula2>3</formula2>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9461" r:id="rId4" name="Drop Down 5">
              <controlPr defaultSize="0" autoLine="0" autoPict="0">
                <anchor moveWithCells="1">
                  <from>
                    <xdr:col>1</xdr:col>
                    <xdr:colOff>9525</xdr:colOff>
                    <xdr:row>60</xdr:row>
                    <xdr:rowOff>28575</xdr:rowOff>
                  </from>
                  <to>
                    <xdr:col>2</xdr:col>
                    <xdr:colOff>0</xdr:colOff>
                    <xdr:row>61</xdr:row>
                    <xdr:rowOff>9525</xdr:rowOff>
                  </to>
                </anchor>
              </controlPr>
            </control>
          </mc:Choice>
        </mc:AlternateContent>
        <mc:AlternateContent xmlns:mc="http://schemas.openxmlformats.org/markup-compatibility/2006">
          <mc:Choice Requires="x14">
            <control shapeId="19462" r:id="rId5" name="Drop Down 6">
              <controlPr defaultSize="0" autoLine="0" autoPict="0">
                <anchor moveWithCells="1">
                  <from>
                    <xdr:col>1</xdr:col>
                    <xdr:colOff>9525</xdr:colOff>
                    <xdr:row>51</xdr:row>
                    <xdr:rowOff>38100</xdr:rowOff>
                  </from>
                  <to>
                    <xdr:col>1</xdr:col>
                    <xdr:colOff>6867525</xdr:colOff>
                    <xdr:row>51</xdr:row>
                    <xdr:rowOff>352425</xdr:rowOff>
                  </to>
                </anchor>
              </controlPr>
            </control>
          </mc:Choice>
        </mc:AlternateContent>
        <mc:AlternateContent xmlns:mc="http://schemas.openxmlformats.org/markup-compatibility/2006">
          <mc:Choice Requires="x14">
            <control shapeId="19463" r:id="rId6" name="Check Box 7">
              <controlPr defaultSize="0" autoFill="0" autoLine="0" autoPict="0">
                <anchor moveWithCells="1">
                  <from>
                    <xdr:col>2</xdr:col>
                    <xdr:colOff>390525</xdr:colOff>
                    <xdr:row>131</xdr:row>
                    <xdr:rowOff>47625</xdr:rowOff>
                  </from>
                  <to>
                    <xdr:col>2</xdr:col>
                    <xdr:colOff>1133475</xdr:colOff>
                    <xdr:row>131</xdr:row>
                    <xdr:rowOff>342900</xdr:rowOff>
                  </to>
                </anchor>
              </controlPr>
            </control>
          </mc:Choice>
        </mc:AlternateContent>
        <mc:AlternateContent xmlns:mc="http://schemas.openxmlformats.org/markup-compatibility/2006">
          <mc:Choice Requires="x14">
            <control shapeId="19464" r:id="rId7" name="Check Box 8">
              <controlPr defaultSize="0" autoFill="0" autoLine="0" autoPict="0">
                <anchor moveWithCells="1">
                  <from>
                    <xdr:col>3</xdr:col>
                    <xdr:colOff>409575</xdr:colOff>
                    <xdr:row>131</xdr:row>
                    <xdr:rowOff>47625</xdr:rowOff>
                  </from>
                  <to>
                    <xdr:col>3</xdr:col>
                    <xdr:colOff>1228725</xdr:colOff>
                    <xdr:row>132</xdr:row>
                    <xdr:rowOff>0</xdr:rowOff>
                  </to>
                </anchor>
              </controlPr>
            </control>
          </mc:Choice>
        </mc:AlternateContent>
        <mc:AlternateContent xmlns:mc="http://schemas.openxmlformats.org/markup-compatibility/2006">
          <mc:Choice Requires="x14">
            <control shapeId="19465" r:id="rId8" name="Check Box 9">
              <controlPr defaultSize="0" autoFill="0" autoLine="0" autoPict="0">
                <anchor moveWithCells="1">
                  <from>
                    <xdr:col>2</xdr:col>
                    <xdr:colOff>390525</xdr:colOff>
                    <xdr:row>132</xdr:row>
                    <xdr:rowOff>38100</xdr:rowOff>
                  </from>
                  <to>
                    <xdr:col>2</xdr:col>
                    <xdr:colOff>1114425</xdr:colOff>
                    <xdr:row>132</xdr:row>
                    <xdr:rowOff>352425</xdr:rowOff>
                  </to>
                </anchor>
              </controlPr>
            </control>
          </mc:Choice>
        </mc:AlternateContent>
        <mc:AlternateContent xmlns:mc="http://schemas.openxmlformats.org/markup-compatibility/2006">
          <mc:Choice Requires="x14">
            <control shapeId="19466" r:id="rId9" name="Check Box 10">
              <controlPr defaultSize="0" autoFill="0" autoLine="0" autoPict="0">
                <anchor moveWithCells="1">
                  <from>
                    <xdr:col>3</xdr:col>
                    <xdr:colOff>409575</xdr:colOff>
                    <xdr:row>132</xdr:row>
                    <xdr:rowOff>38100</xdr:rowOff>
                  </from>
                  <to>
                    <xdr:col>3</xdr:col>
                    <xdr:colOff>1219200</xdr:colOff>
                    <xdr:row>132</xdr:row>
                    <xdr:rowOff>371475</xdr:rowOff>
                  </to>
                </anchor>
              </controlPr>
            </control>
          </mc:Choice>
        </mc:AlternateContent>
        <mc:AlternateContent xmlns:mc="http://schemas.openxmlformats.org/markup-compatibility/2006">
          <mc:Choice Requires="x14">
            <control shapeId="19467" r:id="rId10" name="Check Box 11">
              <controlPr defaultSize="0" autoFill="0" autoLine="0" autoPict="0">
                <anchor moveWithCells="1">
                  <from>
                    <xdr:col>2</xdr:col>
                    <xdr:colOff>390525</xdr:colOff>
                    <xdr:row>133</xdr:row>
                    <xdr:rowOff>38100</xdr:rowOff>
                  </from>
                  <to>
                    <xdr:col>2</xdr:col>
                    <xdr:colOff>1143000</xdr:colOff>
                    <xdr:row>133</xdr:row>
                    <xdr:rowOff>352425</xdr:rowOff>
                  </to>
                </anchor>
              </controlPr>
            </control>
          </mc:Choice>
        </mc:AlternateContent>
        <mc:AlternateContent xmlns:mc="http://schemas.openxmlformats.org/markup-compatibility/2006">
          <mc:Choice Requires="x14">
            <control shapeId="19468" r:id="rId11" name="Check Box 12">
              <controlPr defaultSize="0" autoFill="0" autoLine="0" autoPict="0">
                <anchor moveWithCells="1">
                  <from>
                    <xdr:col>3</xdr:col>
                    <xdr:colOff>409575</xdr:colOff>
                    <xdr:row>133</xdr:row>
                    <xdr:rowOff>28575</xdr:rowOff>
                  </from>
                  <to>
                    <xdr:col>3</xdr:col>
                    <xdr:colOff>1209675</xdr:colOff>
                    <xdr:row>134</xdr:row>
                    <xdr:rowOff>9525</xdr:rowOff>
                  </to>
                </anchor>
              </controlPr>
            </control>
          </mc:Choice>
        </mc:AlternateContent>
        <mc:AlternateContent xmlns:mc="http://schemas.openxmlformats.org/markup-compatibility/2006">
          <mc:Choice Requires="x14">
            <control shapeId="19469" r:id="rId12" name="Check Box 13">
              <controlPr defaultSize="0" autoFill="0" autoLine="0" autoPict="0">
                <anchor moveWithCells="1">
                  <from>
                    <xdr:col>2</xdr:col>
                    <xdr:colOff>390525</xdr:colOff>
                    <xdr:row>134</xdr:row>
                    <xdr:rowOff>9525</xdr:rowOff>
                  </from>
                  <to>
                    <xdr:col>2</xdr:col>
                    <xdr:colOff>1114425</xdr:colOff>
                    <xdr:row>134</xdr:row>
                    <xdr:rowOff>371475</xdr:rowOff>
                  </to>
                </anchor>
              </controlPr>
            </control>
          </mc:Choice>
        </mc:AlternateContent>
        <mc:AlternateContent xmlns:mc="http://schemas.openxmlformats.org/markup-compatibility/2006">
          <mc:Choice Requires="x14">
            <control shapeId="19470" r:id="rId13" name="Check Box 14">
              <controlPr defaultSize="0" autoFill="0" autoLine="0" autoPict="0">
                <anchor moveWithCells="1">
                  <from>
                    <xdr:col>3</xdr:col>
                    <xdr:colOff>409575</xdr:colOff>
                    <xdr:row>134</xdr:row>
                    <xdr:rowOff>47625</xdr:rowOff>
                  </from>
                  <to>
                    <xdr:col>3</xdr:col>
                    <xdr:colOff>1219200</xdr:colOff>
                    <xdr:row>134</xdr:row>
                    <xdr:rowOff>371475</xdr:rowOff>
                  </to>
                </anchor>
              </controlPr>
            </control>
          </mc:Choice>
        </mc:AlternateContent>
        <mc:AlternateContent xmlns:mc="http://schemas.openxmlformats.org/markup-compatibility/2006">
          <mc:Choice Requires="x14">
            <control shapeId="19471" r:id="rId14" name="Check Box 15">
              <controlPr defaultSize="0" autoFill="0" autoLine="0" autoPict="0">
                <anchor moveWithCells="1">
                  <from>
                    <xdr:col>2</xdr:col>
                    <xdr:colOff>390525</xdr:colOff>
                    <xdr:row>135</xdr:row>
                    <xdr:rowOff>47625</xdr:rowOff>
                  </from>
                  <to>
                    <xdr:col>2</xdr:col>
                    <xdr:colOff>1114425</xdr:colOff>
                    <xdr:row>135</xdr:row>
                    <xdr:rowOff>333375</xdr:rowOff>
                  </to>
                </anchor>
              </controlPr>
            </control>
          </mc:Choice>
        </mc:AlternateContent>
        <mc:AlternateContent xmlns:mc="http://schemas.openxmlformats.org/markup-compatibility/2006">
          <mc:Choice Requires="x14">
            <control shapeId="19472" r:id="rId15" name="Check Box 16">
              <controlPr defaultSize="0" autoFill="0" autoLine="0" autoPict="0">
                <anchor moveWithCells="1">
                  <from>
                    <xdr:col>3</xdr:col>
                    <xdr:colOff>409575</xdr:colOff>
                    <xdr:row>135</xdr:row>
                    <xdr:rowOff>38100</xdr:rowOff>
                  </from>
                  <to>
                    <xdr:col>3</xdr:col>
                    <xdr:colOff>1209675</xdr:colOff>
                    <xdr:row>136</xdr:row>
                    <xdr:rowOff>9525</xdr:rowOff>
                  </to>
                </anchor>
              </controlPr>
            </control>
          </mc:Choice>
        </mc:AlternateContent>
        <mc:AlternateContent xmlns:mc="http://schemas.openxmlformats.org/markup-compatibility/2006">
          <mc:Choice Requires="x14">
            <control shapeId="19473" r:id="rId16" name="Check Box 17">
              <controlPr defaultSize="0" autoFill="0" autoLine="0" autoPict="0">
                <anchor moveWithCells="1">
                  <from>
                    <xdr:col>2</xdr:col>
                    <xdr:colOff>390525</xdr:colOff>
                    <xdr:row>136</xdr:row>
                    <xdr:rowOff>38100</xdr:rowOff>
                  </from>
                  <to>
                    <xdr:col>2</xdr:col>
                    <xdr:colOff>1104900</xdr:colOff>
                    <xdr:row>136</xdr:row>
                    <xdr:rowOff>352425</xdr:rowOff>
                  </to>
                </anchor>
              </controlPr>
            </control>
          </mc:Choice>
        </mc:AlternateContent>
        <mc:AlternateContent xmlns:mc="http://schemas.openxmlformats.org/markup-compatibility/2006">
          <mc:Choice Requires="x14">
            <control shapeId="19474" r:id="rId17" name="Check Box 18">
              <controlPr defaultSize="0" autoFill="0" autoLine="0" autoPict="0">
                <anchor moveWithCells="1">
                  <from>
                    <xdr:col>3</xdr:col>
                    <xdr:colOff>409575</xdr:colOff>
                    <xdr:row>136</xdr:row>
                    <xdr:rowOff>38100</xdr:rowOff>
                  </from>
                  <to>
                    <xdr:col>3</xdr:col>
                    <xdr:colOff>1209675</xdr:colOff>
                    <xdr:row>136</xdr:row>
                    <xdr:rowOff>352425</xdr:rowOff>
                  </to>
                </anchor>
              </controlPr>
            </control>
          </mc:Choice>
        </mc:AlternateContent>
        <mc:AlternateContent xmlns:mc="http://schemas.openxmlformats.org/markup-compatibility/2006">
          <mc:Choice Requires="x14">
            <control shapeId="19475" r:id="rId18" name="Check Box 19">
              <controlPr defaultSize="0" autoFill="0" autoLine="0" autoPict="0">
                <anchor moveWithCells="1">
                  <from>
                    <xdr:col>2</xdr:col>
                    <xdr:colOff>390525</xdr:colOff>
                    <xdr:row>137</xdr:row>
                    <xdr:rowOff>28575</xdr:rowOff>
                  </from>
                  <to>
                    <xdr:col>2</xdr:col>
                    <xdr:colOff>1114425</xdr:colOff>
                    <xdr:row>137</xdr:row>
                    <xdr:rowOff>371475</xdr:rowOff>
                  </to>
                </anchor>
              </controlPr>
            </control>
          </mc:Choice>
        </mc:AlternateContent>
        <mc:AlternateContent xmlns:mc="http://schemas.openxmlformats.org/markup-compatibility/2006">
          <mc:Choice Requires="x14">
            <control shapeId="19476" r:id="rId19" name="Check Box 20">
              <controlPr defaultSize="0" autoFill="0" autoLine="0" autoPict="0">
                <anchor moveWithCells="1">
                  <from>
                    <xdr:col>3</xdr:col>
                    <xdr:colOff>409575</xdr:colOff>
                    <xdr:row>137</xdr:row>
                    <xdr:rowOff>0</xdr:rowOff>
                  </from>
                  <to>
                    <xdr:col>3</xdr:col>
                    <xdr:colOff>1209675</xdr:colOff>
                    <xdr:row>138</xdr:row>
                    <xdr:rowOff>0</xdr:rowOff>
                  </to>
                </anchor>
              </controlPr>
            </control>
          </mc:Choice>
        </mc:AlternateContent>
        <mc:AlternateContent xmlns:mc="http://schemas.openxmlformats.org/markup-compatibility/2006">
          <mc:Choice Requires="x14">
            <control shapeId="19477" r:id="rId20" name="Check Box 21">
              <controlPr defaultSize="0" autoFill="0" autoLine="0" autoPict="0">
                <anchor moveWithCells="1">
                  <from>
                    <xdr:col>2</xdr:col>
                    <xdr:colOff>600075</xdr:colOff>
                    <xdr:row>109</xdr:row>
                    <xdr:rowOff>0</xdr:rowOff>
                  </from>
                  <to>
                    <xdr:col>2</xdr:col>
                    <xdr:colOff>1019175</xdr:colOff>
                    <xdr:row>110</xdr:row>
                    <xdr:rowOff>0</xdr:rowOff>
                  </to>
                </anchor>
              </controlPr>
            </control>
          </mc:Choice>
        </mc:AlternateContent>
        <mc:AlternateContent xmlns:mc="http://schemas.openxmlformats.org/markup-compatibility/2006">
          <mc:Choice Requires="x14">
            <control shapeId="19478" r:id="rId21" name="Check Box 22">
              <controlPr defaultSize="0" autoFill="0" autoLine="0" autoPict="0">
                <anchor moveWithCells="1">
                  <from>
                    <xdr:col>2</xdr:col>
                    <xdr:colOff>609600</xdr:colOff>
                    <xdr:row>109</xdr:row>
                    <xdr:rowOff>200025</xdr:rowOff>
                  </from>
                  <to>
                    <xdr:col>2</xdr:col>
                    <xdr:colOff>1028700</xdr:colOff>
                    <xdr:row>110</xdr:row>
                    <xdr:rowOff>200025</xdr:rowOff>
                  </to>
                </anchor>
              </controlPr>
            </control>
          </mc:Choice>
        </mc:AlternateContent>
        <mc:AlternateContent xmlns:mc="http://schemas.openxmlformats.org/markup-compatibility/2006">
          <mc:Choice Requires="x14">
            <control shapeId="19479" r:id="rId22" name="Check Box 23">
              <controlPr defaultSize="0" autoFill="0" autoLine="0" autoPict="0">
                <anchor moveWithCells="1">
                  <from>
                    <xdr:col>2</xdr:col>
                    <xdr:colOff>609600</xdr:colOff>
                    <xdr:row>110</xdr:row>
                    <xdr:rowOff>200025</xdr:rowOff>
                  </from>
                  <to>
                    <xdr:col>2</xdr:col>
                    <xdr:colOff>1028700</xdr:colOff>
                    <xdr:row>111</xdr:row>
                    <xdr:rowOff>200025</xdr:rowOff>
                  </to>
                </anchor>
              </controlPr>
            </control>
          </mc:Choice>
        </mc:AlternateContent>
        <mc:AlternateContent xmlns:mc="http://schemas.openxmlformats.org/markup-compatibility/2006">
          <mc:Choice Requires="x14">
            <control shapeId="19480" r:id="rId23" name="Check Box 24">
              <controlPr defaultSize="0" autoFill="0" autoLine="0" autoPict="0">
                <anchor moveWithCells="1">
                  <from>
                    <xdr:col>2</xdr:col>
                    <xdr:colOff>609600</xdr:colOff>
                    <xdr:row>111</xdr:row>
                    <xdr:rowOff>200025</xdr:rowOff>
                  </from>
                  <to>
                    <xdr:col>2</xdr:col>
                    <xdr:colOff>1028700</xdr:colOff>
                    <xdr:row>112</xdr:row>
                    <xdr:rowOff>200025</xdr:rowOff>
                  </to>
                </anchor>
              </controlPr>
            </control>
          </mc:Choice>
        </mc:AlternateContent>
        <mc:AlternateContent xmlns:mc="http://schemas.openxmlformats.org/markup-compatibility/2006">
          <mc:Choice Requires="x14">
            <control shapeId="19481" r:id="rId24" name="Check Box 25">
              <controlPr defaultSize="0" autoFill="0" autoLine="0" autoPict="0">
                <anchor moveWithCells="1">
                  <from>
                    <xdr:col>2</xdr:col>
                    <xdr:colOff>609600</xdr:colOff>
                    <xdr:row>112</xdr:row>
                    <xdr:rowOff>200025</xdr:rowOff>
                  </from>
                  <to>
                    <xdr:col>2</xdr:col>
                    <xdr:colOff>1028700</xdr:colOff>
                    <xdr:row>113</xdr:row>
                    <xdr:rowOff>200025</xdr:rowOff>
                  </to>
                </anchor>
              </controlPr>
            </control>
          </mc:Choice>
        </mc:AlternateContent>
        <mc:AlternateContent xmlns:mc="http://schemas.openxmlformats.org/markup-compatibility/2006">
          <mc:Choice Requires="x14">
            <control shapeId="19482" r:id="rId25" name="Check Box 26">
              <controlPr defaultSize="0" autoFill="0" autoLine="0" autoPict="0">
                <anchor moveWithCells="1">
                  <from>
                    <xdr:col>3</xdr:col>
                    <xdr:colOff>533400</xdr:colOff>
                    <xdr:row>108</xdr:row>
                    <xdr:rowOff>200025</xdr:rowOff>
                  </from>
                  <to>
                    <xdr:col>3</xdr:col>
                    <xdr:colOff>952500</xdr:colOff>
                    <xdr:row>109</xdr:row>
                    <xdr:rowOff>200025</xdr:rowOff>
                  </to>
                </anchor>
              </controlPr>
            </control>
          </mc:Choice>
        </mc:AlternateContent>
        <mc:AlternateContent xmlns:mc="http://schemas.openxmlformats.org/markup-compatibility/2006">
          <mc:Choice Requires="x14">
            <control shapeId="19483" r:id="rId26" name="Check Box 27">
              <controlPr defaultSize="0" autoFill="0" autoLine="0" autoPict="0">
                <anchor moveWithCells="1">
                  <from>
                    <xdr:col>3</xdr:col>
                    <xdr:colOff>533400</xdr:colOff>
                    <xdr:row>110</xdr:row>
                    <xdr:rowOff>9525</xdr:rowOff>
                  </from>
                  <to>
                    <xdr:col>3</xdr:col>
                    <xdr:colOff>952500</xdr:colOff>
                    <xdr:row>111</xdr:row>
                    <xdr:rowOff>9525</xdr:rowOff>
                  </to>
                </anchor>
              </controlPr>
            </control>
          </mc:Choice>
        </mc:AlternateContent>
        <mc:AlternateContent xmlns:mc="http://schemas.openxmlformats.org/markup-compatibility/2006">
          <mc:Choice Requires="x14">
            <control shapeId="19484" r:id="rId27" name="Check Box 28">
              <controlPr defaultSize="0" autoFill="0" autoLine="0" autoPict="0">
                <anchor moveWithCells="1">
                  <from>
                    <xdr:col>3</xdr:col>
                    <xdr:colOff>533400</xdr:colOff>
                    <xdr:row>110</xdr:row>
                    <xdr:rowOff>200025</xdr:rowOff>
                  </from>
                  <to>
                    <xdr:col>3</xdr:col>
                    <xdr:colOff>952500</xdr:colOff>
                    <xdr:row>111</xdr:row>
                    <xdr:rowOff>200025</xdr:rowOff>
                  </to>
                </anchor>
              </controlPr>
            </control>
          </mc:Choice>
        </mc:AlternateContent>
        <mc:AlternateContent xmlns:mc="http://schemas.openxmlformats.org/markup-compatibility/2006">
          <mc:Choice Requires="x14">
            <control shapeId="19485" r:id="rId28" name="Check Box 29">
              <controlPr defaultSize="0" autoFill="0" autoLine="0" autoPict="0">
                <anchor moveWithCells="1">
                  <from>
                    <xdr:col>3</xdr:col>
                    <xdr:colOff>533400</xdr:colOff>
                    <xdr:row>112</xdr:row>
                    <xdr:rowOff>9525</xdr:rowOff>
                  </from>
                  <to>
                    <xdr:col>3</xdr:col>
                    <xdr:colOff>952500</xdr:colOff>
                    <xdr:row>113</xdr:row>
                    <xdr:rowOff>9525</xdr:rowOff>
                  </to>
                </anchor>
              </controlPr>
            </control>
          </mc:Choice>
        </mc:AlternateContent>
        <mc:AlternateContent xmlns:mc="http://schemas.openxmlformats.org/markup-compatibility/2006">
          <mc:Choice Requires="x14">
            <control shapeId="19486" r:id="rId29" name="Check Box 30">
              <controlPr defaultSize="0" autoFill="0" autoLine="0" autoPict="0">
                <anchor moveWithCells="1">
                  <from>
                    <xdr:col>3</xdr:col>
                    <xdr:colOff>533400</xdr:colOff>
                    <xdr:row>113</xdr:row>
                    <xdr:rowOff>9525</xdr:rowOff>
                  </from>
                  <to>
                    <xdr:col>3</xdr:col>
                    <xdr:colOff>952500</xdr:colOff>
                    <xdr:row>114</xdr:row>
                    <xdr:rowOff>9525</xdr:rowOff>
                  </to>
                </anchor>
              </controlPr>
            </control>
          </mc:Choice>
        </mc:AlternateContent>
        <mc:AlternateContent xmlns:mc="http://schemas.openxmlformats.org/markup-compatibility/2006">
          <mc:Choice Requires="x14">
            <control shapeId="19487" r:id="rId30" name="Check Box 31">
              <controlPr defaultSize="0" autoFill="0" autoLine="0" autoPict="0">
                <anchor moveWithCells="1">
                  <from>
                    <xdr:col>4</xdr:col>
                    <xdr:colOff>714375</xdr:colOff>
                    <xdr:row>108</xdr:row>
                    <xdr:rowOff>200025</xdr:rowOff>
                  </from>
                  <to>
                    <xdr:col>4</xdr:col>
                    <xdr:colOff>1133475</xdr:colOff>
                    <xdr:row>109</xdr:row>
                    <xdr:rowOff>200025</xdr:rowOff>
                  </to>
                </anchor>
              </controlPr>
            </control>
          </mc:Choice>
        </mc:AlternateContent>
        <mc:AlternateContent xmlns:mc="http://schemas.openxmlformats.org/markup-compatibility/2006">
          <mc:Choice Requires="x14">
            <control shapeId="19488" r:id="rId31" name="Check Box 32">
              <controlPr defaultSize="0" autoFill="0" autoLine="0" autoPict="0">
                <anchor moveWithCells="1">
                  <from>
                    <xdr:col>4</xdr:col>
                    <xdr:colOff>714375</xdr:colOff>
                    <xdr:row>109</xdr:row>
                    <xdr:rowOff>200025</xdr:rowOff>
                  </from>
                  <to>
                    <xdr:col>4</xdr:col>
                    <xdr:colOff>1133475</xdr:colOff>
                    <xdr:row>110</xdr:row>
                    <xdr:rowOff>200025</xdr:rowOff>
                  </to>
                </anchor>
              </controlPr>
            </control>
          </mc:Choice>
        </mc:AlternateContent>
        <mc:AlternateContent xmlns:mc="http://schemas.openxmlformats.org/markup-compatibility/2006">
          <mc:Choice Requires="x14">
            <control shapeId="19489" r:id="rId32" name="Check Box 33">
              <controlPr defaultSize="0" autoFill="0" autoLine="0" autoPict="0">
                <anchor moveWithCells="1">
                  <from>
                    <xdr:col>4</xdr:col>
                    <xdr:colOff>714375</xdr:colOff>
                    <xdr:row>111</xdr:row>
                    <xdr:rowOff>9525</xdr:rowOff>
                  </from>
                  <to>
                    <xdr:col>4</xdr:col>
                    <xdr:colOff>1028700</xdr:colOff>
                    <xdr:row>111</xdr:row>
                    <xdr:rowOff>180975</xdr:rowOff>
                  </to>
                </anchor>
              </controlPr>
            </control>
          </mc:Choice>
        </mc:AlternateContent>
        <mc:AlternateContent xmlns:mc="http://schemas.openxmlformats.org/markup-compatibility/2006">
          <mc:Choice Requires="x14">
            <control shapeId="19490" r:id="rId33" name="Check Box 34">
              <controlPr defaultSize="0" autoFill="0" autoLine="0" autoPict="0">
                <anchor moveWithCells="1">
                  <from>
                    <xdr:col>4</xdr:col>
                    <xdr:colOff>714375</xdr:colOff>
                    <xdr:row>111</xdr:row>
                    <xdr:rowOff>200025</xdr:rowOff>
                  </from>
                  <to>
                    <xdr:col>4</xdr:col>
                    <xdr:colOff>1133475</xdr:colOff>
                    <xdr:row>112</xdr:row>
                    <xdr:rowOff>200025</xdr:rowOff>
                  </to>
                </anchor>
              </controlPr>
            </control>
          </mc:Choice>
        </mc:AlternateContent>
        <mc:AlternateContent xmlns:mc="http://schemas.openxmlformats.org/markup-compatibility/2006">
          <mc:Choice Requires="x14">
            <control shapeId="19491" r:id="rId34" name="Check Box 35">
              <controlPr defaultSize="0" autoFill="0" autoLine="0" autoPict="0">
                <anchor moveWithCells="1">
                  <from>
                    <xdr:col>4</xdr:col>
                    <xdr:colOff>714375</xdr:colOff>
                    <xdr:row>112</xdr:row>
                    <xdr:rowOff>200025</xdr:rowOff>
                  </from>
                  <to>
                    <xdr:col>4</xdr:col>
                    <xdr:colOff>1133475</xdr:colOff>
                    <xdr:row>113</xdr:row>
                    <xdr:rowOff>200025</xdr:rowOff>
                  </to>
                </anchor>
              </controlPr>
            </control>
          </mc:Choice>
        </mc:AlternateContent>
        <mc:AlternateContent xmlns:mc="http://schemas.openxmlformats.org/markup-compatibility/2006">
          <mc:Choice Requires="x14">
            <control shapeId="19492" r:id="rId35" name="Check Box 36">
              <controlPr defaultSize="0" autoFill="0" autoLine="0" autoPict="0">
                <anchor moveWithCells="1">
                  <from>
                    <xdr:col>5</xdr:col>
                    <xdr:colOff>847725</xdr:colOff>
                    <xdr:row>108</xdr:row>
                    <xdr:rowOff>200025</xdr:rowOff>
                  </from>
                  <to>
                    <xdr:col>5</xdr:col>
                    <xdr:colOff>1266825</xdr:colOff>
                    <xdr:row>109</xdr:row>
                    <xdr:rowOff>200025</xdr:rowOff>
                  </to>
                </anchor>
              </controlPr>
            </control>
          </mc:Choice>
        </mc:AlternateContent>
        <mc:AlternateContent xmlns:mc="http://schemas.openxmlformats.org/markup-compatibility/2006">
          <mc:Choice Requires="x14">
            <control shapeId="19493" r:id="rId36" name="Check Box 37">
              <controlPr defaultSize="0" autoFill="0" autoLine="0" autoPict="0">
                <anchor moveWithCells="1">
                  <from>
                    <xdr:col>5</xdr:col>
                    <xdr:colOff>847725</xdr:colOff>
                    <xdr:row>109</xdr:row>
                    <xdr:rowOff>200025</xdr:rowOff>
                  </from>
                  <to>
                    <xdr:col>5</xdr:col>
                    <xdr:colOff>1266825</xdr:colOff>
                    <xdr:row>110</xdr:row>
                    <xdr:rowOff>200025</xdr:rowOff>
                  </to>
                </anchor>
              </controlPr>
            </control>
          </mc:Choice>
        </mc:AlternateContent>
        <mc:AlternateContent xmlns:mc="http://schemas.openxmlformats.org/markup-compatibility/2006">
          <mc:Choice Requires="x14">
            <control shapeId="19494" r:id="rId37" name="Check Box 38">
              <controlPr defaultSize="0" autoFill="0" autoLine="0" autoPict="0">
                <anchor moveWithCells="1">
                  <from>
                    <xdr:col>5</xdr:col>
                    <xdr:colOff>847725</xdr:colOff>
                    <xdr:row>110</xdr:row>
                    <xdr:rowOff>200025</xdr:rowOff>
                  </from>
                  <to>
                    <xdr:col>5</xdr:col>
                    <xdr:colOff>1266825</xdr:colOff>
                    <xdr:row>111</xdr:row>
                    <xdr:rowOff>200025</xdr:rowOff>
                  </to>
                </anchor>
              </controlPr>
            </control>
          </mc:Choice>
        </mc:AlternateContent>
        <mc:AlternateContent xmlns:mc="http://schemas.openxmlformats.org/markup-compatibility/2006">
          <mc:Choice Requires="x14">
            <control shapeId="19495" r:id="rId38" name="Check Box 39">
              <controlPr defaultSize="0" autoFill="0" autoLine="0" autoPict="0">
                <anchor moveWithCells="1">
                  <from>
                    <xdr:col>5</xdr:col>
                    <xdr:colOff>847725</xdr:colOff>
                    <xdr:row>112</xdr:row>
                    <xdr:rowOff>9525</xdr:rowOff>
                  </from>
                  <to>
                    <xdr:col>5</xdr:col>
                    <xdr:colOff>1266825</xdr:colOff>
                    <xdr:row>113</xdr:row>
                    <xdr:rowOff>9525</xdr:rowOff>
                  </to>
                </anchor>
              </controlPr>
            </control>
          </mc:Choice>
        </mc:AlternateContent>
        <mc:AlternateContent xmlns:mc="http://schemas.openxmlformats.org/markup-compatibility/2006">
          <mc:Choice Requires="x14">
            <control shapeId="19496" r:id="rId39" name="Check Box 40">
              <controlPr defaultSize="0" autoFill="0" autoLine="0" autoPict="0">
                <anchor moveWithCells="1">
                  <from>
                    <xdr:col>5</xdr:col>
                    <xdr:colOff>847725</xdr:colOff>
                    <xdr:row>112</xdr:row>
                    <xdr:rowOff>200025</xdr:rowOff>
                  </from>
                  <to>
                    <xdr:col>5</xdr:col>
                    <xdr:colOff>1266825</xdr:colOff>
                    <xdr:row>113</xdr:row>
                    <xdr:rowOff>200025</xdr:rowOff>
                  </to>
                </anchor>
              </controlPr>
            </control>
          </mc:Choice>
        </mc:AlternateContent>
        <mc:AlternateContent xmlns:mc="http://schemas.openxmlformats.org/markup-compatibility/2006">
          <mc:Choice Requires="x14">
            <control shapeId="19497" r:id="rId40" name="Check Box 41">
              <controlPr defaultSize="0" autoFill="0" autoLine="0" autoPict="0">
                <anchor moveWithCells="1">
                  <from>
                    <xdr:col>6</xdr:col>
                    <xdr:colOff>581025</xdr:colOff>
                    <xdr:row>108</xdr:row>
                    <xdr:rowOff>200025</xdr:rowOff>
                  </from>
                  <to>
                    <xdr:col>6</xdr:col>
                    <xdr:colOff>1000125</xdr:colOff>
                    <xdr:row>109</xdr:row>
                    <xdr:rowOff>200025</xdr:rowOff>
                  </to>
                </anchor>
              </controlPr>
            </control>
          </mc:Choice>
        </mc:AlternateContent>
        <mc:AlternateContent xmlns:mc="http://schemas.openxmlformats.org/markup-compatibility/2006">
          <mc:Choice Requires="x14">
            <control shapeId="19498" r:id="rId41" name="Check Box 42">
              <controlPr defaultSize="0" autoFill="0" autoLine="0" autoPict="0">
                <anchor moveWithCells="1">
                  <from>
                    <xdr:col>6</xdr:col>
                    <xdr:colOff>581025</xdr:colOff>
                    <xdr:row>110</xdr:row>
                    <xdr:rowOff>9525</xdr:rowOff>
                  </from>
                  <to>
                    <xdr:col>6</xdr:col>
                    <xdr:colOff>1000125</xdr:colOff>
                    <xdr:row>111</xdr:row>
                    <xdr:rowOff>9525</xdr:rowOff>
                  </to>
                </anchor>
              </controlPr>
            </control>
          </mc:Choice>
        </mc:AlternateContent>
        <mc:AlternateContent xmlns:mc="http://schemas.openxmlformats.org/markup-compatibility/2006">
          <mc:Choice Requires="x14">
            <control shapeId="19499" r:id="rId42" name="Check Box 43">
              <controlPr defaultSize="0" autoFill="0" autoLine="0" autoPict="0">
                <anchor moveWithCells="1">
                  <from>
                    <xdr:col>6</xdr:col>
                    <xdr:colOff>581025</xdr:colOff>
                    <xdr:row>111</xdr:row>
                    <xdr:rowOff>0</xdr:rowOff>
                  </from>
                  <to>
                    <xdr:col>6</xdr:col>
                    <xdr:colOff>1000125</xdr:colOff>
                    <xdr:row>112</xdr:row>
                    <xdr:rowOff>28575</xdr:rowOff>
                  </to>
                </anchor>
              </controlPr>
            </control>
          </mc:Choice>
        </mc:AlternateContent>
        <mc:AlternateContent xmlns:mc="http://schemas.openxmlformats.org/markup-compatibility/2006">
          <mc:Choice Requires="x14">
            <control shapeId="19500" r:id="rId43" name="Check Box 44">
              <controlPr defaultSize="0" autoFill="0" autoLine="0" autoPict="0">
                <anchor moveWithCells="1">
                  <from>
                    <xdr:col>6</xdr:col>
                    <xdr:colOff>581025</xdr:colOff>
                    <xdr:row>111</xdr:row>
                    <xdr:rowOff>200025</xdr:rowOff>
                  </from>
                  <to>
                    <xdr:col>6</xdr:col>
                    <xdr:colOff>1000125</xdr:colOff>
                    <xdr:row>112</xdr:row>
                    <xdr:rowOff>200025</xdr:rowOff>
                  </to>
                </anchor>
              </controlPr>
            </control>
          </mc:Choice>
        </mc:AlternateContent>
        <mc:AlternateContent xmlns:mc="http://schemas.openxmlformats.org/markup-compatibility/2006">
          <mc:Choice Requires="x14">
            <control shapeId="19501" r:id="rId44" name="Check Box 45">
              <controlPr defaultSize="0" autoFill="0" autoLine="0" autoPict="0">
                <anchor moveWithCells="1">
                  <from>
                    <xdr:col>6</xdr:col>
                    <xdr:colOff>581025</xdr:colOff>
                    <xdr:row>112</xdr:row>
                    <xdr:rowOff>200025</xdr:rowOff>
                  </from>
                  <to>
                    <xdr:col>6</xdr:col>
                    <xdr:colOff>1000125</xdr:colOff>
                    <xdr:row>113</xdr:row>
                    <xdr:rowOff>200025</xdr:rowOff>
                  </to>
                </anchor>
              </controlPr>
            </control>
          </mc:Choice>
        </mc:AlternateContent>
        <mc:AlternateContent xmlns:mc="http://schemas.openxmlformats.org/markup-compatibility/2006">
          <mc:Choice Requires="x14">
            <control shapeId="19502" r:id="rId45" name="Check Box 46">
              <controlPr defaultSize="0" autoFill="0" autoLine="0" autoPict="0">
                <anchor moveWithCells="1">
                  <from>
                    <xdr:col>0</xdr:col>
                    <xdr:colOff>142875</xdr:colOff>
                    <xdr:row>149</xdr:row>
                    <xdr:rowOff>314325</xdr:rowOff>
                  </from>
                  <to>
                    <xdr:col>1</xdr:col>
                    <xdr:colOff>9525</xdr:colOff>
                    <xdr:row>151</xdr:row>
                    <xdr:rowOff>0</xdr:rowOff>
                  </to>
                </anchor>
              </controlPr>
            </control>
          </mc:Choice>
        </mc:AlternateContent>
        <mc:AlternateContent xmlns:mc="http://schemas.openxmlformats.org/markup-compatibility/2006">
          <mc:Choice Requires="x14">
            <control shapeId="19503" r:id="rId46" name="Check Box 47">
              <controlPr defaultSize="0" autoFill="0" autoLine="0" autoPict="0">
                <anchor moveWithCells="1">
                  <from>
                    <xdr:col>0</xdr:col>
                    <xdr:colOff>142875</xdr:colOff>
                    <xdr:row>150</xdr:row>
                    <xdr:rowOff>190500</xdr:rowOff>
                  </from>
                  <to>
                    <xdr:col>1</xdr:col>
                    <xdr:colOff>9525</xdr:colOff>
                    <xdr:row>152</xdr:row>
                    <xdr:rowOff>9525</xdr:rowOff>
                  </to>
                </anchor>
              </controlPr>
            </control>
          </mc:Choice>
        </mc:AlternateContent>
        <mc:AlternateContent xmlns:mc="http://schemas.openxmlformats.org/markup-compatibility/2006">
          <mc:Choice Requires="x14">
            <control shapeId="19504" r:id="rId47" name="Check Box 48">
              <controlPr defaultSize="0" autoFill="0" autoLine="0" autoPict="0">
                <anchor moveWithCells="1">
                  <from>
                    <xdr:col>0</xdr:col>
                    <xdr:colOff>142875</xdr:colOff>
                    <xdr:row>151</xdr:row>
                    <xdr:rowOff>190500</xdr:rowOff>
                  </from>
                  <to>
                    <xdr:col>1</xdr:col>
                    <xdr:colOff>9525</xdr:colOff>
                    <xdr:row>153</xdr:row>
                    <xdr:rowOff>9525</xdr:rowOff>
                  </to>
                </anchor>
              </controlPr>
            </control>
          </mc:Choice>
        </mc:AlternateContent>
        <mc:AlternateContent xmlns:mc="http://schemas.openxmlformats.org/markup-compatibility/2006">
          <mc:Choice Requires="x14">
            <control shapeId="19505" r:id="rId48" name="Check Box 49">
              <controlPr defaultSize="0" autoFill="0" autoLine="0" autoPict="0">
                <anchor moveWithCells="1">
                  <from>
                    <xdr:col>0</xdr:col>
                    <xdr:colOff>142875</xdr:colOff>
                    <xdr:row>152</xdr:row>
                    <xdr:rowOff>219075</xdr:rowOff>
                  </from>
                  <to>
                    <xdr:col>1</xdr:col>
                    <xdr:colOff>9525</xdr:colOff>
                    <xdr:row>154</xdr:row>
                    <xdr:rowOff>9525</xdr:rowOff>
                  </to>
                </anchor>
              </controlPr>
            </control>
          </mc:Choice>
        </mc:AlternateContent>
        <mc:AlternateContent xmlns:mc="http://schemas.openxmlformats.org/markup-compatibility/2006">
          <mc:Choice Requires="x14">
            <control shapeId="19506" r:id="rId49" name="Check Box 50">
              <controlPr defaultSize="0" autoFill="0" autoLine="0" autoPict="0">
                <anchor moveWithCells="1">
                  <from>
                    <xdr:col>0</xdr:col>
                    <xdr:colOff>142875</xdr:colOff>
                    <xdr:row>153</xdr:row>
                    <xdr:rowOff>219075</xdr:rowOff>
                  </from>
                  <to>
                    <xdr:col>1</xdr:col>
                    <xdr:colOff>9525</xdr:colOff>
                    <xdr:row>155</xdr:row>
                    <xdr:rowOff>9525</xdr:rowOff>
                  </to>
                </anchor>
              </controlPr>
            </control>
          </mc:Choice>
        </mc:AlternateContent>
        <mc:AlternateContent xmlns:mc="http://schemas.openxmlformats.org/markup-compatibility/2006">
          <mc:Choice Requires="x14">
            <control shapeId="19507" r:id="rId50" name="Check Box 51">
              <controlPr defaultSize="0" autoFill="0" autoLine="0" autoPict="0">
                <anchor moveWithCells="1">
                  <from>
                    <xdr:col>0</xdr:col>
                    <xdr:colOff>142875</xdr:colOff>
                    <xdr:row>154</xdr:row>
                    <xdr:rowOff>190500</xdr:rowOff>
                  </from>
                  <to>
                    <xdr:col>1</xdr:col>
                    <xdr:colOff>9525</xdr:colOff>
                    <xdr:row>155</xdr:row>
                    <xdr:rowOff>200025</xdr:rowOff>
                  </to>
                </anchor>
              </controlPr>
            </control>
          </mc:Choice>
        </mc:AlternateContent>
        <mc:AlternateContent xmlns:mc="http://schemas.openxmlformats.org/markup-compatibility/2006">
          <mc:Choice Requires="x14">
            <control shapeId="19508" r:id="rId51" name="Check Box 52">
              <controlPr defaultSize="0" autoFill="0" autoLine="0" autoPict="0">
                <anchor moveWithCells="1">
                  <from>
                    <xdr:col>0</xdr:col>
                    <xdr:colOff>142875</xdr:colOff>
                    <xdr:row>155</xdr:row>
                    <xdr:rowOff>190500</xdr:rowOff>
                  </from>
                  <to>
                    <xdr:col>1</xdr:col>
                    <xdr:colOff>9525</xdr:colOff>
                    <xdr:row>156</xdr:row>
                    <xdr:rowOff>200025</xdr:rowOff>
                  </to>
                </anchor>
              </controlPr>
            </control>
          </mc:Choice>
        </mc:AlternateContent>
        <mc:AlternateContent xmlns:mc="http://schemas.openxmlformats.org/markup-compatibility/2006">
          <mc:Choice Requires="x14">
            <control shapeId="19509" r:id="rId52" name="Check Box 53">
              <controlPr defaultSize="0" autoFill="0" autoLine="0" autoPict="0">
                <anchor moveWithCells="1">
                  <from>
                    <xdr:col>0</xdr:col>
                    <xdr:colOff>142875</xdr:colOff>
                    <xdr:row>277</xdr:row>
                    <xdr:rowOff>0</xdr:rowOff>
                  </from>
                  <to>
                    <xdr:col>1</xdr:col>
                    <xdr:colOff>9525</xdr:colOff>
                    <xdr:row>278</xdr:row>
                    <xdr:rowOff>0</xdr:rowOff>
                  </to>
                </anchor>
              </controlPr>
            </control>
          </mc:Choice>
        </mc:AlternateContent>
        <mc:AlternateContent xmlns:mc="http://schemas.openxmlformats.org/markup-compatibility/2006">
          <mc:Choice Requires="x14">
            <control shapeId="19510" r:id="rId53" name="Check Box 54">
              <controlPr defaultSize="0" autoFill="0" autoLine="0" autoPict="0">
                <anchor moveWithCells="1">
                  <from>
                    <xdr:col>0</xdr:col>
                    <xdr:colOff>142875</xdr:colOff>
                    <xdr:row>277</xdr:row>
                    <xdr:rowOff>200025</xdr:rowOff>
                  </from>
                  <to>
                    <xdr:col>1</xdr:col>
                    <xdr:colOff>9525</xdr:colOff>
                    <xdr:row>278</xdr:row>
                    <xdr:rowOff>200025</xdr:rowOff>
                  </to>
                </anchor>
              </controlPr>
            </control>
          </mc:Choice>
        </mc:AlternateContent>
        <mc:AlternateContent xmlns:mc="http://schemas.openxmlformats.org/markup-compatibility/2006">
          <mc:Choice Requires="x14">
            <control shapeId="19511" r:id="rId54" name="Check Box 55">
              <controlPr defaultSize="0" autoFill="0" autoLine="0" autoPict="0">
                <anchor moveWithCells="1">
                  <from>
                    <xdr:col>0</xdr:col>
                    <xdr:colOff>142875</xdr:colOff>
                    <xdr:row>278</xdr:row>
                    <xdr:rowOff>200025</xdr:rowOff>
                  </from>
                  <to>
                    <xdr:col>1</xdr:col>
                    <xdr:colOff>9525</xdr:colOff>
                    <xdr:row>279</xdr:row>
                    <xdr:rowOff>200025</xdr:rowOff>
                  </to>
                </anchor>
              </controlPr>
            </control>
          </mc:Choice>
        </mc:AlternateContent>
        <mc:AlternateContent xmlns:mc="http://schemas.openxmlformats.org/markup-compatibility/2006">
          <mc:Choice Requires="x14">
            <control shapeId="19512" r:id="rId55" name="Check Box 56">
              <controlPr defaultSize="0" autoFill="0" autoLine="0" autoPict="0">
                <anchor moveWithCells="1">
                  <from>
                    <xdr:col>0</xdr:col>
                    <xdr:colOff>152400</xdr:colOff>
                    <xdr:row>283</xdr:row>
                    <xdr:rowOff>0</xdr:rowOff>
                  </from>
                  <to>
                    <xdr:col>0</xdr:col>
                    <xdr:colOff>523875</xdr:colOff>
                    <xdr:row>284</xdr:row>
                    <xdr:rowOff>0</xdr:rowOff>
                  </to>
                </anchor>
              </controlPr>
            </control>
          </mc:Choice>
        </mc:AlternateContent>
        <mc:AlternateContent xmlns:mc="http://schemas.openxmlformats.org/markup-compatibility/2006">
          <mc:Choice Requires="x14">
            <control shapeId="19513" r:id="rId56" name="Check Box 57">
              <controlPr defaultSize="0" autoFill="0" autoLine="0" autoPict="0">
                <anchor moveWithCells="1">
                  <from>
                    <xdr:col>0</xdr:col>
                    <xdr:colOff>152400</xdr:colOff>
                    <xdr:row>283</xdr:row>
                    <xdr:rowOff>200025</xdr:rowOff>
                  </from>
                  <to>
                    <xdr:col>0</xdr:col>
                    <xdr:colOff>523875</xdr:colOff>
                    <xdr:row>284</xdr:row>
                    <xdr:rowOff>200025</xdr:rowOff>
                  </to>
                </anchor>
              </controlPr>
            </control>
          </mc:Choice>
        </mc:AlternateContent>
        <mc:AlternateContent xmlns:mc="http://schemas.openxmlformats.org/markup-compatibility/2006">
          <mc:Choice Requires="x14">
            <control shapeId="19514" r:id="rId57" name="Check Box 58">
              <controlPr defaultSize="0" autoFill="0" autoLine="0" autoPict="0">
                <anchor moveWithCells="1">
                  <from>
                    <xdr:col>0</xdr:col>
                    <xdr:colOff>152400</xdr:colOff>
                    <xdr:row>284</xdr:row>
                    <xdr:rowOff>200025</xdr:rowOff>
                  </from>
                  <to>
                    <xdr:col>0</xdr:col>
                    <xdr:colOff>523875</xdr:colOff>
                    <xdr:row>285</xdr:row>
                    <xdr:rowOff>200025</xdr:rowOff>
                  </to>
                </anchor>
              </controlPr>
            </control>
          </mc:Choice>
        </mc:AlternateContent>
        <mc:AlternateContent xmlns:mc="http://schemas.openxmlformats.org/markup-compatibility/2006">
          <mc:Choice Requires="x14">
            <control shapeId="19515" r:id="rId58" name="Check Box 59">
              <controlPr defaultSize="0" autoFill="0" autoLine="0" autoPict="0">
                <anchor moveWithCells="1">
                  <from>
                    <xdr:col>0</xdr:col>
                    <xdr:colOff>152400</xdr:colOff>
                    <xdr:row>285</xdr:row>
                    <xdr:rowOff>200025</xdr:rowOff>
                  </from>
                  <to>
                    <xdr:col>0</xdr:col>
                    <xdr:colOff>523875</xdr:colOff>
                    <xdr:row>286</xdr:row>
                    <xdr:rowOff>200025</xdr:rowOff>
                  </to>
                </anchor>
              </controlPr>
            </control>
          </mc:Choice>
        </mc:AlternateContent>
        <mc:AlternateContent xmlns:mc="http://schemas.openxmlformats.org/markup-compatibility/2006">
          <mc:Choice Requires="x14">
            <control shapeId="19519" r:id="rId59" name="Option Button 63">
              <controlPr defaultSize="0" autoFill="0" autoLine="0" autoPict="0">
                <anchor moveWithCells="1">
                  <from>
                    <xdr:col>0</xdr:col>
                    <xdr:colOff>152400</xdr:colOff>
                    <xdr:row>292</xdr:row>
                    <xdr:rowOff>219075</xdr:rowOff>
                  </from>
                  <to>
                    <xdr:col>0</xdr:col>
                    <xdr:colOff>504825</xdr:colOff>
                    <xdr:row>294</xdr:row>
                    <xdr:rowOff>9525</xdr:rowOff>
                  </to>
                </anchor>
              </controlPr>
            </control>
          </mc:Choice>
        </mc:AlternateContent>
        <mc:AlternateContent xmlns:mc="http://schemas.openxmlformats.org/markup-compatibility/2006">
          <mc:Choice Requires="x14">
            <control shapeId="19520" r:id="rId60" name="Option Button 64">
              <controlPr defaultSize="0" autoFill="0" autoLine="0" autoPict="0">
                <anchor moveWithCells="1">
                  <from>
                    <xdr:col>0</xdr:col>
                    <xdr:colOff>152400</xdr:colOff>
                    <xdr:row>293</xdr:row>
                    <xdr:rowOff>200025</xdr:rowOff>
                  </from>
                  <to>
                    <xdr:col>0</xdr:col>
                    <xdr:colOff>504825</xdr:colOff>
                    <xdr:row>295</xdr:row>
                    <xdr:rowOff>9525</xdr:rowOff>
                  </to>
                </anchor>
              </controlPr>
            </control>
          </mc:Choice>
        </mc:AlternateContent>
        <mc:AlternateContent xmlns:mc="http://schemas.openxmlformats.org/markup-compatibility/2006">
          <mc:Choice Requires="x14">
            <control shapeId="19521" r:id="rId61" name="Option Button 65">
              <controlPr defaultSize="0" autoFill="0" autoLine="0" autoPict="0">
                <anchor moveWithCells="1">
                  <from>
                    <xdr:col>0</xdr:col>
                    <xdr:colOff>152400</xdr:colOff>
                    <xdr:row>294</xdr:row>
                    <xdr:rowOff>190500</xdr:rowOff>
                  </from>
                  <to>
                    <xdr:col>0</xdr:col>
                    <xdr:colOff>504825</xdr:colOff>
                    <xdr:row>295</xdr:row>
                    <xdr:rowOff>200025</xdr:rowOff>
                  </to>
                </anchor>
              </controlPr>
            </control>
          </mc:Choice>
        </mc:AlternateContent>
        <mc:AlternateContent xmlns:mc="http://schemas.openxmlformats.org/markup-compatibility/2006">
          <mc:Choice Requires="x14">
            <control shapeId="19531" r:id="rId62" name="Check Box 75">
              <controlPr defaultSize="0" autoFill="0" autoLine="0" autoPict="0">
                <anchor moveWithCells="1">
                  <from>
                    <xdr:col>0</xdr:col>
                    <xdr:colOff>123825</xdr:colOff>
                    <xdr:row>257</xdr:row>
                    <xdr:rowOff>0</xdr:rowOff>
                  </from>
                  <to>
                    <xdr:col>0</xdr:col>
                    <xdr:colOff>523875</xdr:colOff>
                    <xdr:row>258</xdr:row>
                    <xdr:rowOff>9525</xdr:rowOff>
                  </to>
                </anchor>
              </controlPr>
            </control>
          </mc:Choice>
        </mc:AlternateContent>
        <mc:AlternateContent xmlns:mc="http://schemas.openxmlformats.org/markup-compatibility/2006">
          <mc:Choice Requires="x14">
            <control shapeId="19532" r:id="rId63" name="Check Box 76">
              <controlPr defaultSize="0" autoFill="0" autoLine="0" autoPict="0">
                <anchor moveWithCells="1">
                  <from>
                    <xdr:col>0</xdr:col>
                    <xdr:colOff>123825</xdr:colOff>
                    <xdr:row>257</xdr:row>
                    <xdr:rowOff>200025</xdr:rowOff>
                  </from>
                  <to>
                    <xdr:col>0</xdr:col>
                    <xdr:colOff>523875</xdr:colOff>
                    <xdr:row>259</xdr:row>
                    <xdr:rowOff>9525</xdr:rowOff>
                  </to>
                </anchor>
              </controlPr>
            </control>
          </mc:Choice>
        </mc:AlternateContent>
        <mc:AlternateContent xmlns:mc="http://schemas.openxmlformats.org/markup-compatibility/2006">
          <mc:Choice Requires="x14">
            <control shapeId="19533" r:id="rId64" name="Check Box 77">
              <controlPr defaultSize="0" autoFill="0" autoLine="0" autoPict="0">
                <anchor moveWithCells="1">
                  <from>
                    <xdr:col>0</xdr:col>
                    <xdr:colOff>123825</xdr:colOff>
                    <xdr:row>258</xdr:row>
                    <xdr:rowOff>190500</xdr:rowOff>
                  </from>
                  <to>
                    <xdr:col>0</xdr:col>
                    <xdr:colOff>523875</xdr:colOff>
                    <xdr:row>259</xdr:row>
                    <xdr:rowOff>200025</xdr:rowOff>
                  </to>
                </anchor>
              </controlPr>
            </control>
          </mc:Choice>
        </mc:AlternateContent>
        <mc:AlternateContent xmlns:mc="http://schemas.openxmlformats.org/markup-compatibility/2006">
          <mc:Choice Requires="x14">
            <control shapeId="19534" r:id="rId65" name="Check Box 78">
              <controlPr defaultSize="0" autoFill="0" autoLine="0" autoPict="0">
                <anchor moveWithCells="1">
                  <from>
                    <xdr:col>0</xdr:col>
                    <xdr:colOff>123825</xdr:colOff>
                    <xdr:row>65</xdr:row>
                    <xdr:rowOff>0</xdr:rowOff>
                  </from>
                  <to>
                    <xdr:col>0</xdr:col>
                    <xdr:colOff>495300</xdr:colOff>
                    <xdr:row>66</xdr:row>
                    <xdr:rowOff>9525</xdr:rowOff>
                  </to>
                </anchor>
              </controlPr>
            </control>
          </mc:Choice>
        </mc:AlternateContent>
        <mc:AlternateContent xmlns:mc="http://schemas.openxmlformats.org/markup-compatibility/2006">
          <mc:Choice Requires="x14">
            <control shapeId="19535" r:id="rId66" name="Check Box 79">
              <controlPr defaultSize="0" autoFill="0" autoLine="0" autoPict="0">
                <anchor moveWithCells="1">
                  <from>
                    <xdr:col>0</xdr:col>
                    <xdr:colOff>123825</xdr:colOff>
                    <xdr:row>66</xdr:row>
                    <xdr:rowOff>190500</xdr:rowOff>
                  </from>
                  <to>
                    <xdr:col>0</xdr:col>
                    <xdr:colOff>495300</xdr:colOff>
                    <xdr:row>67</xdr:row>
                    <xdr:rowOff>200025</xdr:rowOff>
                  </to>
                </anchor>
              </controlPr>
            </control>
          </mc:Choice>
        </mc:AlternateContent>
        <mc:AlternateContent xmlns:mc="http://schemas.openxmlformats.org/markup-compatibility/2006">
          <mc:Choice Requires="x14">
            <control shapeId="19536" r:id="rId67" name="Check Box 80">
              <controlPr defaultSize="0" autoFill="0" autoLine="0" autoPict="0">
                <anchor moveWithCells="1">
                  <from>
                    <xdr:col>0</xdr:col>
                    <xdr:colOff>123825</xdr:colOff>
                    <xdr:row>67</xdr:row>
                    <xdr:rowOff>200025</xdr:rowOff>
                  </from>
                  <to>
                    <xdr:col>0</xdr:col>
                    <xdr:colOff>495300</xdr:colOff>
                    <xdr:row>68</xdr:row>
                    <xdr:rowOff>219075</xdr:rowOff>
                  </to>
                </anchor>
              </controlPr>
            </control>
          </mc:Choice>
        </mc:AlternateContent>
        <mc:AlternateContent xmlns:mc="http://schemas.openxmlformats.org/markup-compatibility/2006">
          <mc:Choice Requires="x14">
            <control shapeId="19537" r:id="rId68" name="Check Box 81">
              <controlPr defaultSize="0" autoFill="0" autoLine="0" autoPict="0">
                <anchor moveWithCells="1">
                  <from>
                    <xdr:col>0</xdr:col>
                    <xdr:colOff>123825</xdr:colOff>
                    <xdr:row>68</xdr:row>
                    <xdr:rowOff>200025</xdr:rowOff>
                  </from>
                  <to>
                    <xdr:col>0</xdr:col>
                    <xdr:colOff>495300</xdr:colOff>
                    <xdr:row>69</xdr:row>
                    <xdr:rowOff>219075</xdr:rowOff>
                  </to>
                </anchor>
              </controlPr>
            </control>
          </mc:Choice>
        </mc:AlternateContent>
        <mc:AlternateContent xmlns:mc="http://schemas.openxmlformats.org/markup-compatibility/2006">
          <mc:Choice Requires="x14">
            <control shapeId="19538" r:id="rId69" name="Group Box 82">
              <controlPr defaultSize="0" autoFill="0" autoPict="0">
                <anchor moveWithCells="1">
                  <from>
                    <xdr:col>0</xdr:col>
                    <xdr:colOff>0</xdr:colOff>
                    <xdr:row>117</xdr:row>
                    <xdr:rowOff>9525</xdr:rowOff>
                  </from>
                  <to>
                    <xdr:col>1</xdr:col>
                    <xdr:colOff>0</xdr:colOff>
                    <xdr:row>120</xdr:row>
                    <xdr:rowOff>9525</xdr:rowOff>
                  </to>
                </anchor>
              </controlPr>
            </control>
          </mc:Choice>
        </mc:AlternateContent>
        <mc:AlternateContent xmlns:mc="http://schemas.openxmlformats.org/markup-compatibility/2006">
          <mc:Choice Requires="x14">
            <control shapeId="19544" r:id="rId70" name="Option Button 88">
              <controlPr defaultSize="0" autoFill="0" autoLine="0" autoPict="0">
                <anchor moveWithCells="1">
                  <from>
                    <xdr:col>0</xdr:col>
                    <xdr:colOff>123825</xdr:colOff>
                    <xdr:row>117</xdr:row>
                    <xdr:rowOff>9525</xdr:rowOff>
                  </from>
                  <to>
                    <xdr:col>0</xdr:col>
                    <xdr:colOff>466725</xdr:colOff>
                    <xdr:row>118</xdr:row>
                    <xdr:rowOff>9525</xdr:rowOff>
                  </to>
                </anchor>
              </controlPr>
            </control>
          </mc:Choice>
        </mc:AlternateContent>
        <mc:AlternateContent xmlns:mc="http://schemas.openxmlformats.org/markup-compatibility/2006">
          <mc:Choice Requires="x14">
            <control shapeId="19545" r:id="rId71" name="Option Button 89">
              <controlPr defaultSize="0" autoFill="0" autoLine="0" autoPict="0">
                <anchor moveWithCells="1">
                  <from>
                    <xdr:col>0</xdr:col>
                    <xdr:colOff>123825</xdr:colOff>
                    <xdr:row>118</xdr:row>
                    <xdr:rowOff>9525</xdr:rowOff>
                  </from>
                  <to>
                    <xdr:col>0</xdr:col>
                    <xdr:colOff>419100</xdr:colOff>
                    <xdr:row>119</xdr:row>
                    <xdr:rowOff>0</xdr:rowOff>
                  </to>
                </anchor>
              </controlPr>
            </control>
          </mc:Choice>
        </mc:AlternateContent>
        <mc:AlternateContent xmlns:mc="http://schemas.openxmlformats.org/markup-compatibility/2006">
          <mc:Choice Requires="x14">
            <control shapeId="19547" r:id="rId72" name="Option Button 91">
              <controlPr defaultSize="0" autoFill="0" autoLine="0" autoPict="0">
                <anchor moveWithCells="1">
                  <from>
                    <xdr:col>0</xdr:col>
                    <xdr:colOff>123825</xdr:colOff>
                    <xdr:row>119</xdr:row>
                    <xdr:rowOff>9525</xdr:rowOff>
                  </from>
                  <to>
                    <xdr:col>0</xdr:col>
                    <xdr:colOff>447675</xdr:colOff>
                    <xdr:row>120</xdr:row>
                    <xdr:rowOff>9525</xdr:rowOff>
                  </to>
                </anchor>
              </controlPr>
            </control>
          </mc:Choice>
        </mc:AlternateContent>
        <mc:AlternateContent xmlns:mc="http://schemas.openxmlformats.org/markup-compatibility/2006">
          <mc:Choice Requires="x14">
            <control shapeId="19552" r:id="rId73" name="Group Box 96">
              <controlPr defaultSize="0" autoFill="0" autoPict="0">
                <anchor moveWithCells="1">
                  <from>
                    <xdr:col>0</xdr:col>
                    <xdr:colOff>0</xdr:colOff>
                    <xdr:row>124</xdr:row>
                    <xdr:rowOff>200025</xdr:rowOff>
                  </from>
                  <to>
                    <xdr:col>1</xdr:col>
                    <xdr:colOff>0</xdr:colOff>
                    <xdr:row>128</xdr:row>
                    <xdr:rowOff>0</xdr:rowOff>
                  </to>
                </anchor>
              </controlPr>
            </control>
          </mc:Choice>
        </mc:AlternateContent>
        <mc:AlternateContent xmlns:mc="http://schemas.openxmlformats.org/markup-compatibility/2006">
          <mc:Choice Requires="x14">
            <control shapeId="19553" r:id="rId74" name="Option Button 97">
              <controlPr defaultSize="0" autoFill="0" autoLine="0" autoPict="0">
                <anchor moveWithCells="1">
                  <from>
                    <xdr:col>0</xdr:col>
                    <xdr:colOff>142875</xdr:colOff>
                    <xdr:row>125</xdr:row>
                    <xdr:rowOff>0</xdr:rowOff>
                  </from>
                  <to>
                    <xdr:col>0</xdr:col>
                    <xdr:colOff>533400</xdr:colOff>
                    <xdr:row>126</xdr:row>
                    <xdr:rowOff>0</xdr:rowOff>
                  </to>
                </anchor>
              </controlPr>
            </control>
          </mc:Choice>
        </mc:AlternateContent>
        <mc:AlternateContent xmlns:mc="http://schemas.openxmlformats.org/markup-compatibility/2006">
          <mc:Choice Requires="x14">
            <control shapeId="19554" r:id="rId75" name="Option Button 98">
              <controlPr defaultSize="0" autoFill="0" autoLine="0" autoPict="0">
                <anchor moveWithCells="1">
                  <from>
                    <xdr:col>0</xdr:col>
                    <xdr:colOff>142875</xdr:colOff>
                    <xdr:row>126</xdr:row>
                    <xdr:rowOff>28575</xdr:rowOff>
                  </from>
                  <to>
                    <xdr:col>0</xdr:col>
                    <xdr:colOff>504825</xdr:colOff>
                    <xdr:row>127</xdr:row>
                    <xdr:rowOff>9525</xdr:rowOff>
                  </to>
                </anchor>
              </controlPr>
            </control>
          </mc:Choice>
        </mc:AlternateContent>
        <mc:AlternateContent xmlns:mc="http://schemas.openxmlformats.org/markup-compatibility/2006">
          <mc:Choice Requires="x14">
            <control shapeId="19555" r:id="rId76" name="Option Button 99">
              <controlPr defaultSize="0" autoFill="0" autoLine="0" autoPict="0">
                <anchor moveWithCells="1">
                  <from>
                    <xdr:col>0</xdr:col>
                    <xdr:colOff>123825</xdr:colOff>
                    <xdr:row>127</xdr:row>
                    <xdr:rowOff>9525</xdr:rowOff>
                  </from>
                  <to>
                    <xdr:col>1</xdr:col>
                    <xdr:colOff>0</xdr:colOff>
                    <xdr:row>128</xdr:row>
                    <xdr:rowOff>0</xdr:rowOff>
                  </to>
                </anchor>
              </controlPr>
            </control>
          </mc:Choice>
        </mc:AlternateContent>
        <mc:AlternateContent xmlns:mc="http://schemas.openxmlformats.org/markup-compatibility/2006">
          <mc:Choice Requires="x14">
            <control shapeId="19556" r:id="rId77" name="Group Box 100">
              <controlPr defaultSize="0" autoFill="0" autoPict="0">
                <anchor moveWithCells="1">
                  <from>
                    <xdr:col>1</xdr:col>
                    <xdr:colOff>6867525</xdr:colOff>
                    <xdr:row>75</xdr:row>
                    <xdr:rowOff>0</xdr:rowOff>
                  </from>
                  <to>
                    <xdr:col>6</xdr:col>
                    <xdr:colOff>0</xdr:colOff>
                    <xdr:row>76</xdr:row>
                    <xdr:rowOff>0</xdr:rowOff>
                  </to>
                </anchor>
              </controlPr>
            </control>
          </mc:Choice>
        </mc:AlternateContent>
        <mc:AlternateContent xmlns:mc="http://schemas.openxmlformats.org/markup-compatibility/2006">
          <mc:Choice Requires="x14">
            <control shapeId="19557" r:id="rId78" name="Option Button 101">
              <controlPr defaultSize="0" autoFill="0" autoLine="0" autoPict="0">
                <anchor moveWithCells="1">
                  <from>
                    <xdr:col>2</xdr:col>
                    <xdr:colOff>609600</xdr:colOff>
                    <xdr:row>75</xdr:row>
                    <xdr:rowOff>9525</xdr:rowOff>
                  </from>
                  <to>
                    <xdr:col>2</xdr:col>
                    <xdr:colOff>1038225</xdr:colOff>
                    <xdr:row>75</xdr:row>
                    <xdr:rowOff>200025</xdr:rowOff>
                  </to>
                </anchor>
              </controlPr>
            </control>
          </mc:Choice>
        </mc:AlternateContent>
        <mc:AlternateContent xmlns:mc="http://schemas.openxmlformats.org/markup-compatibility/2006">
          <mc:Choice Requires="x14">
            <control shapeId="19558" r:id="rId79" name="Option Button 102">
              <controlPr defaultSize="0" autoFill="0" autoLine="0" autoPict="0">
                <anchor moveWithCells="1">
                  <from>
                    <xdr:col>3</xdr:col>
                    <xdr:colOff>542925</xdr:colOff>
                    <xdr:row>75</xdr:row>
                    <xdr:rowOff>0</xdr:rowOff>
                  </from>
                  <to>
                    <xdr:col>3</xdr:col>
                    <xdr:colOff>1133475</xdr:colOff>
                    <xdr:row>75</xdr:row>
                    <xdr:rowOff>190500</xdr:rowOff>
                  </to>
                </anchor>
              </controlPr>
            </control>
          </mc:Choice>
        </mc:AlternateContent>
        <mc:AlternateContent xmlns:mc="http://schemas.openxmlformats.org/markup-compatibility/2006">
          <mc:Choice Requires="x14">
            <control shapeId="19559" r:id="rId80" name="Option Button 103">
              <controlPr defaultSize="0" autoFill="0" autoLine="0" autoPict="0">
                <anchor moveWithCells="1">
                  <from>
                    <xdr:col>4</xdr:col>
                    <xdr:colOff>695325</xdr:colOff>
                    <xdr:row>75</xdr:row>
                    <xdr:rowOff>0</xdr:rowOff>
                  </from>
                  <to>
                    <xdr:col>4</xdr:col>
                    <xdr:colOff>1143000</xdr:colOff>
                    <xdr:row>75</xdr:row>
                    <xdr:rowOff>219075</xdr:rowOff>
                  </to>
                </anchor>
              </controlPr>
            </control>
          </mc:Choice>
        </mc:AlternateContent>
        <mc:AlternateContent xmlns:mc="http://schemas.openxmlformats.org/markup-compatibility/2006">
          <mc:Choice Requires="x14">
            <control shapeId="19561" r:id="rId81" name="Option Button 105">
              <controlPr defaultSize="0" autoFill="0" autoLine="0" autoPict="0">
                <anchor moveWithCells="1">
                  <from>
                    <xdr:col>5</xdr:col>
                    <xdr:colOff>866775</xdr:colOff>
                    <xdr:row>75</xdr:row>
                    <xdr:rowOff>0</xdr:rowOff>
                  </from>
                  <to>
                    <xdr:col>5</xdr:col>
                    <xdr:colOff>1381125</xdr:colOff>
                    <xdr:row>75</xdr:row>
                    <xdr:rowOff>190500</xdr:rowOff>
                  </to>
                </anchor>
              </controlPr>
            </control>
          </mc:Choice>
        </mc:AlternateContent>
        <mc:AlternateContent xmlns:mc="http://schemas.openxmlformats.org/markup-compatibility/2006">
          <mc:Choice Requires="x14">
            <control shapeId="19562" r:id="rId82" name="Group Box 106">
              <controlPr defaultSize="0" autoFill="0" autoPict="0">
                <anchor moveWithCells="1">
                  <from>
                    <xdr:col>2</xdr:col>
                    <xdr:colOff>0</xdr:colOff>
                    <xdr:row>83</xdr:row>
                    <xdr:rowOff>0</xdr:rowOff>
                  </from>
                  <to>
                    <xdr:col>6</xdr:col>
                    <xdr:colOff>0</xdr:colOff>
                    <xdr:row>84</xdr:row>
                    <xdr:rowOff>0</xdr:rowOff>
                  </to>
                </anchor>
              </controlPr>
            </control>
          </mc:Choice>
        </mc:AlternateContent>
        <mc:AlternateContent xmlns:mc="http://schemas.openxmlformats.org/markup-compatibility/2006">
          <mc:Choice Requires="x14">
            <control shapeId="19563" r:id="rId83" name="Group Box 107">
              <controlPr defaultSize="0" autoFill="0" autoPict="0">
                <anchor moveWithCells="1">
                  <from>
                    <xdr:col>1</xdr:col>
                    <xdr:colOff>6867525</xdr:colOff>
                    <xdr:row>76</xdr:row>
                    <xdr:rowOff>9525</xdr:rowOff>
                  </from>
                  <to>
                    <xdr:col>5</xdr:col>
                    <xdr:colOff>1990725</xdr:colOff>
                    <xdr:row>77</xdr:row>
                    <xdr:rowOff>0</xdr:rowOff>
                  </to>
                </anchor>
              </controlPr>
            </control>
          </mc:Choice>
        </mc:AlternateContent>
        <mc:AlternateContent xmlns:mc="http://schemas.openxmlformats.org/markup-compatibility/2006">
          <mc:Choice Requires="x14">
            <control shapeId="19564" r:id="rId84" name="Group Box 108">
              <controlPr defaultSize="0" autoFill="0" autoPict="0">
                <anchor moveWithCells="1">
                  <from>
                    <xdr:col>1</xdr:col>
                    <xdr:colOff>6886575</xdr:colOff>
                    <xdr:row>77</xdr:row>
                    <xdr:rowOff>9525</xdr:rowOff>
                  </from>
                  <to>
                    <xdr:col>5</xdr:col>
                    <xdr:colOff>1981200</xdr:colOff>
                    <xdr:row>78</xdr:row>
                    <xdr:rowOff>0</xdr:rowOff>
                  </to>
                </anchor>
              </controlPr>
            </control>
          </mc:Choice>
        </mc:AlternateContent>
        <mc:AlternateContent xmlns:mc="http://schemas.openxmlformats.org/markup-compatibility/2006">
          <mc:Choice Requires="x14">
            <control shapeId="19565" r:id="rId85" name="Group Box 109">
              <controlPr defaultSize="0" autoFill="0" autoPict="0">
                <anchor moveWithCells="1">
                  <from>
                    <xdr:col>1</xdr:col>
                    <xdr:colOff>6886575</xdr:colOff>
                    <xdr:row>79</xdr:row>
                    <xdr:rowOff>0</xdr:rowOff>
                  </from>
                  <to>
                    <xdr:col>6</xdr:col>
                    <xdr:colOff>9525</xdr:colOff>
                    <xdr:row>80</xdr:row>
                    <xdr:rowOff>0</xdr:rowOff>
                  </to>
                </anchor>
              </controlPr>
            </control>
          </mc:Choice>
        </mc:AlternateContent>
        <mc:AlternateContent xmlns:mc="http://schemas.openxmlformats.org/markup-compatibility/2006">
          <mc:Choice Requires="x14">
            <control shapeId="19566" r:id="rId86" name="Group Box 110">
              <controlPr defaultSize="0" autoFill="0" autoPict="0">
                <anchor moveWithCells="1">
                  <from>
                    <xdr:col>2</xdr:col>
                    <xdr:colOff>0</xdr:colOff>
                    <xdr:row>77</xdr:row>
                    <xdr:rowOff>257175</xdr:rowOff>
                  </from>
                  <to>
                    <xdr:col>6</xdr:col>
                    <xdr:colOff>0</xdr:colOff>
                    <xdr:row>79</xdr:row>
                    <xdr:rowOff>0</xdr:rowOff>
                  </to>
                </anchor>
              </controlPr>
            </control>
          </mc:Choice>
        </mc:AlternateContent>
        <mc:AlternateContent xmlns:mc="http://schemas.openxmlformats.org/markup-compatibility/2006">
          <mc:Choice Requires="x14">
            <control shapeId="19576" r:id="rId87" name="Option Button 120">
              <controlPr defaultSize="0" autoFill="0" autoLine="0" autoPict="0">
                <anchor moveWithCells="1">
                  <from>
                    <xdr:col>2</xdr:col>
                    <xdr:colOff>609600</xdr:colOff>
                    <xdr:row>79</xdr:row>
                    <xdr:rowOff>28575</xdr:rowOff>
                  </from>
                  <to>
                    <xdr:col>2</xdr:col>
                    <xdr:colOff>990600</xdr:colOff>
                    <xdr:row>79</xdr:row>
                    <xdr:rowOff>228600</xdr:rowOff>
                  </to>
                </anchor>
              </controlPr>
            </control>
          </mc:Choice>
        </mc:AlternateContent>
        <mc:AlternateContent xmlns:mc="http://schemas.openxmlformats.org/markup-compatibility/2006">
          <mc:Choice Requires="x14">
            <control shapeId="19577" r:id="rId88" name="Option Button 121">
              <controlPr defaultSize="0" autoFill="0" autoLine="0" autoPict="0">
                <anchor moveWithCells="1">
                  <from>
                    <xdr:col>3</xdr:col>
                    <xdr:colOff>542925</xdr:colOff>
                    <xdr:row>79</xdr:row>
                    <xdr:rowOff>28575</xdr:rowOff>
                  </from>
                  <to>
                    <xdr:col>3</xdr:col>
                    <xdr:colOff>923925</xdr:colOff>
                    <xdr:row>79</xdr:row>
                    <xdr:rowOff>228600</xdr:rowOff>
                  </to>
                </anchor>
              </controlPr>
            </control>
          </mc:Choice>
        </mc:AlternateContent>
        <mc:AlternateContent xmlns:mc="http://schemas.openxmlformats.org/markup-compatibility/2006">
          <mc:Choice Requires="x14">
            <control shapeId="19578" r:id="rId89" name="Option Button 122">
              <controlPr defaultSize="0" autoFill="0" autoLine="0" autoPict="0">
                <anchor moveWithCells="1">
                  <from>
                    <xdr:col>4</xdr:col>
                    <xdr:colOff>685800</xdr:colOff>
                    <xdr:row>79</xdr:row>
                    <xdr:rowOff>9525</xdr:rowOff>
                  </from>
                  <to>
                    <xdr:col>4</xdr:col>
                    <xdr:colOff>1066800</xdr:colOff>
                    <xdr:row>79</xdr:row>
                    <xdr:rowOff>228600</xdr:rowOff>
                  </to>
                </anchor>
              </controlPr>
            </control>
          </mc:Choice>
        </mc:AlternateContent>
        <mc:AlternateContent xmlns:mc="http://schemas.openxmlformats.org/markup-compatibility/2006">
          <mc:Choice Requires="x14">
            <control shapeId="19579" r:id="rId90" name="Option Button 123">
              <controlPr defaultSize="0" autoFill="0" autoLine="0" autoPict="0">
                <anchor moveWithCells="1">
                  <from>
                    <xdr:col>5</xdr:col>
                    <xdr:colOff>866775</xdr:colOff>
                    <xdr:row>79</xdr:row>
                    <xdr:rowOff>9525</xdr:rowOff>
                  </from>
                  <to>
                    <xdr:col>5</xdr:col>
                    <xdr:colOff>1247775</xdr:colOff>
                    <xdr:row>79</xdr:row>
                    <xdr:rowOff>228600</xdr:rowOff>
                  </to>
                </anchor>
              </controlPr>
            </control>
          </mc:Choice>
        </mc:AlternateContent>
        <mc:AlternateContent xmlns:mc="http://schemas.openxmlformats.org/markup-compatibility/2006">
          <mc:Choice Requires="x14">
            <control shapeId="19588" r:id="rId91" name="Group Box 132">
              <controlPr defaultSize="0" autoFill="0" autoPict="0">
                <anchor moveWithCells="1">
                  <from>
                    <xdr:col>2</xdr:col>
                    <xdr:colOff>0</xdr:colOff>
                    <xdr:row>82</xdr:row>
                    <xdr:rowOff>0</xdr:rowOff>
                  </from>
                  <to>
                    <xdr:col>6</xdr:col>
                    <xdr:colOff>0</xdr:colOff>
                    <xdr:row>83</xdr:row>
                    <xdr:rowOff>0</xdr:rowOff>
                  </to>
                </anchor>
              </controlPr>
            </control>
          </mc:Choice>
        </mc:AlternateContent>
        <mc:AlternateContent xmlns:mc="http://schemas.openxmlformats.org/markup-compatibility/2006">
          <mc:Choice Requires="x14">
            <control shapeId="19589" r:id="rId92" name="Group Box 133">
              <controlPr defaultSize="0" autoFill="0" autoPict="0">
                <anchor moveWithCells="1">
                  <from>
                    <xdr:col>2</xdr:col>
                    <xdr:colOff>0</xdr:colOff>
                    <xdr:row>84</xdr:row>
                    <xdr:rowOff>0</xdr:rowOff>
                  </from>
                  <to>
                    <xdr:col>6</xdr:col>
                    <xdr:colOff>9525</xdr:colOff>
                    <xdr:row>85</xdr:row>
                    <xdr:rowOff>0</xdr:rowOff>
                  </to>
                </anchor>
              </controlPr>
            </control>
          </mc:Choice>
        </mc:AlternateContent>
        <mc:AlternateContent xmlns:mc="http://schemas.openxmlformats.org/markup-compatibility/2006">
          <mc:Choice Requires="x14">
            <control shapeId="19590" r:id="rId93" name="Group Box 134">
              <controlPr defaultSize="0" autoFill="0" autoPict="0">
                <anchor moveWithCells="1">
                  <from>
                    <xdr:col>2</xdr:col>
                    <xdr:colOff>0</xdr:colOff>
                    <xdr:row>87</xdr:row>
                    <xdr:rowOff>0</xdr:rowOff>
                  </from>
                  <to>
                    <xdr:col>5</xdr:col>
                    <xdr:colOff>1981200</xdr:colOff>
                    <xdr:row>88</xdr:row>
                    <xdr:rowOff>0</xdr:rowOff>
                  </to>
                </anchor>
              </controlPr>
            </control>
          </mc:Choice>
        </mc:AlternateContent>
        <mc:AlternateContent xmlns:mc="http://schemas.openxmlformats.org/markup-compatibility/2006">
          <mc:Choice Requires="x14">
            <control shapeId="19591" r:id="rId94" name="Group Box 135">
              <controlPr defaultSize="0" autoFill="0" autoPict="0">
                <anchor moveWithCells="1">
                  <from>
                    <xdr:col>2</xdr:col>
                    <xdr:colOff>9525</xdr:colOff>
                    <xdr:row>84</xdr:row>
                    <xdr:rowOff>257175</xdr:rowOff>
                  </from>
                  <to>
                    <xdr:col>6</xdr:col>
                    <xdr:colOff>9525</xdr:colOff>
                    <xdr:row>86</xdr:row>
                    <xdr:rowOff>0</xdr:rowOff>
                  </to>
                </anchor>
              </controlPr>
            </control>
          </mc:Choice>
        </mc:AlternateContent>
        <mc:AlternateContent xmlns:mc="http://schemas.openxmlformats.org/markup-compatibility/2006">
          <mc:Choice Requires="x14">
            <control shapeId="19592" r:id="rId95" name="Group Box 136">
              <controlPr defaultSize="0" autoFill="0" autoPict="0">
                <anchor moveWithCells="1">
                  <from>
                    <xdr:col>2</xdr:col>
                    <xdr:colOff>9525</xdr:colOff>
                    <xdr:row>86</xdr:row>
                    <xdr:rowOff>0</xdr:rowOff>
                  </from>
                  <to>
                    <xdr:col>6</xdr:col>
                    <xdr:colOff>0</xdr:colOff>
                    <xdr:row>87</xdr:row>
                    <xdr:rowOff>0</xdr:rowOff>
                  </to>
                </anchor>
              </controlPr>
            </control>
          </mc:Choice>
        </mc:AlternateContent>
        <mc:AlternateContent xmlns:mc="http://schemas.openxmlformats.org/markup-compatibility/2006">
          <mc:Choice Requires="x14">
            <control shapeId="19593" r:id="rId96" name="Group Box 137">
              <controlPr defaultSize="0" autoFill="0" autoPict="0">
                <anchor moveWithCells="1">
                  <from>
                    <xdr:col>1</xdr:col>
                    <xdr:colOff>6886575</xdr:colOff>
                    <xdr:row>92</xdr:row>
                    <xdr:rowOff>0</xdr:rowOff>
                  </from>
                  <to>
                    <xdr:col>6</xdr:col>
                    <xdr:colOff>0</xdr:colOff>
                    <xdr:row>93</xdr:row>
                    <xdr:rowOff>0</xdr:rowOff>
                  </to>
                </anchor>
              </controlPr>
            </control>
          </mc:Choice>
        </mc:AlternateContent>
        <mc:AlternateContent xmlns:mc="http://schemas.openxmlformats.org/markup-compatibility/2006">
          <mc:Choice Requires="x14">
            <control shapeId="19594" r:id="rId97" name="Group Box 138">
              <controlPr defaultSize="0" autoFill="0" autoPict="0">
                <anchor moveWithCells="1">
                  <from>
                    <xdr:col>1</xdr:col>
                    <xdr:colOff>6867525</xdr:colOff>
                    <xdr:row>88</xdr:row>
                    <xdr:rowOff>0</xdr:rowOff>
                  </from>
                  <to>
                    <xdr:col>5</xdr:col>
                    <xdr:colOff>1981200</xdr:colOff>
                    <xdr:row>89</xdr:row>
                    <xdr:rowOff>0</xdr:rowOff>
                  </to>
                </anchor>
              </controlPr>
            </control>
          </mc:Choice>
        </mc:AlternateContent>
        <mc:AlternateContent xmlns:mc="http://schemas.openxmlformats.org/markup-compatibility/2006">
          <mc:Choice Requires="x14">
            <control shapeId="19603" r:id="rId98" name="Option Button 147">
              <controlPr defaultSize="0" autoFill="0" autoLine="0" autoPict="0">
                <anchor moveWithCells="1">
                  <from>
                    <xdr:col>2</xdr:col>
                    <xdr:colOff>609600</xdr:colOff>
                    <xdr:row>82</xdr:row>
                    <xdr:rowOff>28575</xdr:rowOff>
                  </from>
                  <to>
                    <xdr:col>2</xdr:col>
                    <xdr:colOff>990600</xdr:colOff>
                    <xdr:row>82</xdr:row>
                    <xdr:rowOff>228600</xdr:rowOff>
                  </to>
                </anchor>
              </controlPr>
            </control>
          </mc:Choice>
        </mc:AlternateContent>
        <mc:AlternateContent xmlns:mc="http://schemas.openxmlformats.org/markup-compatibility/2006">
          <mc:Choice Requires="x14">
            <control shapeId="19604" r:id="rId99" name="Option Button 148">
              <controlPr defaultSize="0" autoFill="0" autoLine="0" autoPict="0">
                <anchor moveWithCells="1">
                  <from>
                    <xdr:col>3</xdr:col>
                    <xdr:colOff>542925</xdr:colOff>
                    <xdr:row>82</xdr:row>
                    <xdr:rowOff>38100</xdr:rowOff>
                  </from>
                  <to>
                    <xdr:col>3</xdr:col>
                    <xdr:colOff>923925</xdr:colOff>
                    <xdr:row>82</xdr:row>
                    <xdr:rowOff>228600</xdr:rowOff>
                  </to>
                </anchor>
              </controlPr>
            </control>
          </mc:Choice>
        </mc:AlternateContent>
        <mc:AlternateContent xmlns:mc="http://schemas.openxmlformats.org/markup-compatibility/2006">
          <mc:Choice Requires="x14">
            <control shapeId="19605" r:id="rId100" name="Option Button 149">
              <controlPr defaultSize="0" autoFill="0" autoLine="0" autoPict="0">
                <anchor moveWithCells="1">
                  <from>
                    <xdr:col>4</xdr:col>
                    <xdr:colOff>685800</xdr:colOff>
                    <xdr:row>82</xdr:row>
                    <xdr:rowOff>28575</xdr:rowOff>
                  </from>
                  <to>
                    <xdr:col>4</xdr:col>
                    <xdr:colOff>1066800</xdr:colOff>
                    <xdr:row>82</xdr:row>
                    <xdr:rowOff>228600</xdr:rowOff>
                  </to>
                </anchor>
              </controlPr>
            </control>
          </mc:Choice>
        </mc:AlternateContent>
        <mc:AlternateContent xmlns:mc="http://schemas.openxmlformats.org/markup-compatibility/2006">
          <mc:Choice Requires="x14">
            <control shapeId="19606" r:id="rId101" name="Option Button 150">
              <controlPr defaultSize="0" autoFill="0" autoLine="0" autoPict="0">
                <anchor moveWithCells="1">
                  <from>
                    <xdr:col>5</xdr:col>
                    <xdr:colOff>866775</xdr:colOff>
                    <xdr:row>82</xdr:row>
                    <xdr:rowOff>9525</xdr:rowOff>
                  </from>
                  <to>
                    <xdr:col>5</xdr:col>
                    <xdr:colOff>1247775</xdr:colOff>
                    <xdr:row>82</xdr:row>
                    <xdr:rowOff>228600</xdr:rowOff>
                  </to>
                </anchor>
              </controlPr>
            </control>
          </mc:Choice>
        </mc:AlternateContent>
        <mc:AlternateContent xmlns:mc="http://schemas.openxmlformats.org/markup-compatibility/2006">
          <mc:Choice Requires="x14">
            <control shapeId="19607" r:id="rId102" name="Option Button 151">
              <controlPr defaultSize="0" autoFill="0" autoLine="0" autoPict="0">
                <anchor moveWithCells="1">
                  <from>
                    <xdr:col>2</xdr:col>
                    <xdr:colOff>609600</xdr:colOff>
                    <xdr:row>85</xdr:row>
                    <xdr:rowOff>38100</xdr:rowOff>
                  </from>
                  <to>
                    <xdr:col>2</xdr:col>
                    <xdr:colOff>990600</xdr:colOff>
                    <xdr:row>85</xdr:row>
                    <xdr:rowOff>238125</xdr:rowOff>
                  </to>
                </anchor>
              </controlPr>
            </control>
          </mc:Choice>
        </mc:AlternateContent>
        <mc:AlternateContent xmlns:mc="http://schemas.openxmlformats.org/markup-compatibility/2006">
          <mc:Choice Requires="x14">
            <control shapeId="19608" r:id="rId103" name="Option Button 152">
              <controlPr defaultSize="0" autoFill="0" autoLine="0" autoPict="0">
                <anchor moveWithCells="1">
                  <from>
                    <xdr:col>3</xdr:col>
                    <xdr:colOff>542925</xdr:colOff>
                    <xdr:row>85</xdr:row>
                    <xdr:rowOff>38100</xdr:rowOff>
                  </from>
                  <to>
                    <xdr:col>3</xdr:col>
                    <xdr:colOff>942975</xdr:colOff>
                    <xdr:row>85</xdr:row>
                    <xdr:rowOff>228600</xdr:rowOff>
                  </to>
                </anchor>
              </controlPr>
            </control>
          </mc:Choice>
        </mc:AlternateContent>
        <mc:AlternateContent xmlns:mc="http://schemas.openxmlformats.org/markup-compatibility/2006">
          <mc:Choice Requires="x14">
            <control shapeId="19609" r:id="rId104" name="Option Button 153">
              <controlPr defaultSize="0" autoFill="0" autoLine="0" autoPict="0">
                <anchor moveWithCells="1">
                  <from>
                    <xdr:col>4</xdr:col>
                    <xdr:colOff>695325</xdr:colOff>
                    <xdr:row>85</xdr:row>
                    <xdr:rowOff>38100</xdr:rowOff>
                  </from>
                  <to>
                    <xdr:col>4</xdr:col>
                    <xdr:colOff>1076325</xdr:colOff>
                    <xdr:row>85</xdr:row>
                    <xdr:rowOff>238125</xdr:rowOff>
                  </to>
                </anchor>
              </controlPr>
            </control>
          </mc:Choice>
        </mc:AlternateContent>
        <mc:AlternateContent xmlns:mc="http://schemas.openxmlformats.org/markup-compatibility/2006">
          <mc:Choice Requires="x14">
            <control shapeId="19610" r:id="rId105" name="Option Button 154">
              <controlPr defaultSize="0" autoFill="0" autoLine="0" autoPict="0">
                <anchor moveWithCells="1">
                  <from>
                    <xdr:col>5</xdr:col>
                    <xdr:colOff>866775</xdr:colOff>
                    <xdr:row>85</xdr:row>
                    <xdr:rowOff>47625</xdr:rowOff>
                  </from>
                  <to>
                    <xdr:col>5</xdr:col>
                    <xdr:colOff>1247775</xdr:colOff>
                    <xdr:row>85</xdr:row>
                    <xdr:rowOff>228600</xdr:rowOff>
                  </to>
                </anchor>
              </controlPr>
            </control>
          </mc:Choice>
        </mc:AlternateContent>
        <mc:AlternateContent xmlns:mc="http://schemas.openxmlformats.org/markup-compatibility/2006">
          <mc:Choice Requires="x14">
            <control shapeId="19619" r:id="rId106" name="Option Button 163">
              <controlPr defaultSize="0" autoFill="0" autoLine="0" autoPict="0">
                <anchor moveWithCells="1">
                  <from>
                    <xdr:col>2</xdr:col>
                    <xdr:colOff>600075</xdr:colOff>
                    <xdr:row>88</xdr:row>
                    <xdr:rowOff>28575</xdr:rowOff>
                  </from>
                  <to>
                    <xdr:col>2</xdr:col>
                    <xdr:colOff>981075</xdr:colOff>
                    <xdr:row>88</xdr:row>
                    <xdr:rowOff>228600</xdr:rowOff>
                  </to>
                </anchor>
              </controlPr>
            </control>
          </mc:Choice>
        </mc:AlternateContent>
        <mc:AlternateContent xmlns:mc="http://schemas.openxmlformats.org/markup-compatibility/2006">
          <mc:Choice Requires="x14">
            <control shapeId="19620" r:id="rId107" name="Option Button 164">
              <controlPr defaultSize="0" autoFill="0" autoLine="0" autoPict="0">
                <anchor moveWithCells="1">
                  <from>
                    <xdr:col>3</xdr:col>
                    <xdr:colOff>542925</xdr:colOff>
                    <xdr:row>88</xdr:row>
                    <xdr:rowOff>28575</xdr:rowOff>
                  </from>
                  <to>
                    <xdr:col>3</xdr:col>
                    <xdr:colOff>923925</xdr:colOff>
                    <xdr:row>88</xdr:row>
                    <xdr:rowOff>228600</xdr:rowOff>
                  </to>
                </anchor>
              </controlPr>
            </control>
          </mc:Choice>
        </mc:AlternateContent>
        <mc:AlternateContent xmlns:mc="http://schemas.openxmlformats.org/markup-compatibility/2006">
          <mc:Choice Requires="x14">
            <control shapeId="19621" r:id="rId108" name="Option Button 165">
              <controlPr defaultSize="0" autoFill="0" autoLine="0" autoPict="0">
                <anchor moveWithCells="1">
                  <from>
                    <xdr:col>4</xdr:col>
                    <xdr:colOff>685800</xdr:colOff>
                    <xdr:row>88</xdr:row>
                    <xdr:rowOff>9525</xdr:rowOff>
                  </from>
                  <to>
                    <xdr:col>4</xdr:col>
                    <xdr:colOff>1057275</xdr:colOff>
                    <xdr:row>88</xdr:row>
                    <xdr:rowOff>238125</xdr:rowOff>
                  </to>
                </anchor>
              </controlPr>
            </control>
          </mc:Choice>
        </mc:AlternateContent>
        <mc:AlternateContent xmlns:mc="http://schemas.openxmlformats.org/markup-compatibility/2006">
          <mc:Choice Requires="x14">
            <control shapeId="19622" r:id="rId109" name="Option Button 166">
              <controlPr defaultSize="0" autoFill="0" autoLine="0" autoPict="0">
                <anchor moveWithCells="1">
                  <from>
                    <xdr:col>5</xdr:col>
                    <xdr:colOff>847725</xdr:colOff>
                    <xdr:row>88</xdr:row>
                    <xdr:rowOff>9525</xdr:rowOff>
                  </from>
                  <to>
                    <xdr:col>5</xdr:col>
                    <xdr:colOff>1228725</xdr:colOff>
                    <xdr:row>88</xdr:row>
                    <xdr:rowOff>228600</xdr:rowOff>
                  </to>
                </anchor>
              </controlPr>
            </control>
          </mc:Choice>
        </mc:AlternateContent>
        <mc:AlternateContent xmlns:mc="http://schemas.openxmlformats.org/markup-compatibility/2006">
          <mc:Choice Requires="x14">
            <control shapeId="19623" r:id="rId110" name="Group Box 167">
              <controlPr defaultSize="0" autoFill="0" autoPict="0">
                <anchor moveWithCells="1">
                  <from>
                    <xdr:col>2</xdr:col>
                    <xdr:colOff>0</xdr:colOff>
                    <xdr:row>79</xdr:row>
                    <xdr:rowOff>257175</xdr:rowOff>
                  </from>
                  <to>
                    <xdr:col>6</xdr:col>
                    <xdr:colOff>0</xdr:colOff>
                    <xdr:row>81</xdr:row>
                    <xdr:rowOff>0</xdr:rowOff>
                  </to>
                </anchor>
              </controlPr>
            </control>
          </mc:Choice>
        </mc:AlternateContent>
        <mc:AlternateContent xmlns:mc="http://schemas.openxmlformats.org/markup-compatibility/2006">
          <mc:Choice Requires="x14">
            <control shapeId="19624" r:id="rId111" name="Group Box 168">
              <controlPr defaultSize="0" autoFill="0" autoPict="0">
                <anchor moveWithCells="1">
                  <from>
                    <xdr:col>1</xdr:col>
                    <xdr:colOff>6867525</xdr:colOff>
                    <xdr:row>90</xdr:row>
                    <xdr:rowOff>9525</xdr:rowOff>
                  </from>
                  <to>
                    <xdr:col>6</xdr:col>
                    <xdr:colOff>9525</xdr:colOff>
                    <xdr:row>91</xdr:row>
                    <xdr:rowOff>0</xdr:rowOff>
                  </to>
                </anchor>
              </controlPr>
            </control>
          </mc:Choice>
        </mc:AlternateContent>
        <mc:AlternateContent xmlns:mc="http://schemas.openxmlformats.org/markup-compatibility/2006">
          <mc:Choice Requires="x14">
            <control shapeId="19625" r:id="rId112" name="Group Box 169">
              <controlPr defaultSize="0" autoFill="0" autoPict="0">
                <anchor moveWithCells="1">
                  <from>
                    <xdr:col>1</xdr:col>
                    <xdr:colOff>6867525</xdr:colOff>
                    <xdr:row>91</xdr:row>
                    <xdr:rowOff>0</xdr:rowOff>
                  </from>
                  <to>
                    <xdr:col>6</xdr:col>
                    <xdr:colOff>0</xdr:colOff>
                    <xdr:row>92</xdr:row>
                    <xdr:rowOff>0</xdr:rowOff>
                  </to>
                </anchor>
              </controlPr>
            </control>
          </mc:Choice>
        </mc:AlternateContent>
        <mc:AlternateContent xmlns:mc="http://schemas.openxmlformats.org/markup-compatibility/2006">
          <mc:Choice Requires="x14">
            <control shapeId="19630" r:id="rId113" name="Option Button 174">
              <controlPr defaultSize="0" autoFill="0" autoLine="0" autoPict="0">
                <anchor moveWithCells="1">
                  <from>
                    <xdr:col>2</xdr:col>
                    <xdr:colOff>609600</xdr:colOff>
                    <xdr:row>90</xdr:row>
                    <xdr:rowOff>28575</xdr:rowOff>
                  </from>
                  <to>
                    <xdr:col>2</xdr:col>
                    <xdr:colOff>990600</xdr:colOff>
                    <xdr:row>90</xdr:row>
                    <xdr:rowOff>238125</xdr:rowOff>
                  </to>
                </anchor>
              </controlPr>
            </control>
          </mc:Choice>
        </mc:AlternateContent>
        <mc:AlternateContent xmlns:mc="http://schemas.openxmlformats.org/markup-compatibility/2006">
          <mc:Choice Requires="x14">
            <control shapeId="19631" r:id="rId114" name="Option Button 175">
              <controlPr defaultSize="0" autoFill="0" autoLine="0" autoPict="0">
                <anchor moveWithCells="1">
                  <from>
                    <xdr:col>3</xdr:col>
                    <xdr:colOff>542925</xdr:colOff>
                    <xdr:row>90</xdr:row>
                    <xdr:rowOff>28575</xdr:rowOff>
                  </from>
                  <to>
                    <xdr:col>3</xdr:col>
                    <xdr:colOff>923925</xdr:colOff>
                    <xdr:row>90</xdr:row>
                    <xdr:rowOff>238125</xdr:rowOff>
                  </to>
                </anchor>
              </controlPr>
            </control>
          </mc:Choice>
        </mc:AlternateContent>
        <mc:AlternateContent xmlns:mc="http://schemas.openxmlformats.org/markup-compatibility/2006">
          <mc:Choice Requires="x14">
            <control shapeId="19632" r:id="rId115" name="Option Button 176">
              <controlPr defaultSize="0" autoFill="0" autoLine="0" autoPict="0">
                <anchor moveWithCells="1">
                  <from>
                    <xdr:col>4</xdr:col>
                    <xdr:colOff>685800</xdr:colOff>
                    <xdr:row>90</xdr:row>
                    <xdr:rowOff>28575</xdr:rowOff>
                  </from>
                  <to>
                    <xdr:col>4</xdr:col>
                    <xdr:colOff>1066800</xdr:colOff>
                    <xdr:row>90</xdr:row>
                    <xdr:rowOff>238125</xdr:rowOff>
                  </to>
                </anchor>
              </controlPr>
            </control>
          </mc:Choice>
        </mc:AlternateContent>
        <mc:AlternateContent xmlns:mc="http://schemas.openxmlformats.org/markup-compatibility/2006">
          <mc:Choice Requires="x14">
            <control shapeId="19633" r:id="rId116" name="Option Button 177">
              <controlPr defaultSize="0" autoFill="0" autoLine="0" autoPict="0">
                <anchor moveWithCells="1">
                  <from>
                    <xdr:col>5</xdr:col>
                    <xdr:colOff>847725</xdr:colOff>
                    <xdr:row>90</xdr:row>
                    <xdr:rowOff>28575</xdr:rowOff>
                  </from>
                  <to>
                    <xdr:col>5</xdr:col>
                    <xdr:colOff>1228725</xdr:colOff>
                    <xdr:row>90</xdr:row>
                    <xdr:rowOff>238125</xdr:rowOff>
                  </to>
                </anchor>
              </controlPr>
            </control>
          </mc:Choice>
        </mc:AlternateContent>
        <mc:AlternateContent xmlns:mc="http://schemas.openxmlformats.org/markup-compatibility/2006">
          <mc:Choice Requires="x14">
            <control shapeId="19639" r:id="rId117" name="Group Box 183">
              <controlPr defaultSize="0" autoFill="0" autoPict="0">
                <anchor moveWithCells="1">
                  <from>
                    <xdr:col>2</xdr:col>
                    <xdr:colOff>0</xdr:colOff>
                    <xdr:row>89</xdr:row>
                    <xdr:rowOff>0</xdr:rowOff>
                  </from>
                  <to>
                    <xdr:col>5</xdr:col>
                    <xdr:colOff>1990725</xdr:colOff>
                    <xdr:row>90</xdr:row>
                    <xdr:rowOff>0</xdr:rowOff>
                  </to>
                </anchor>
              </controlPr>
            </control>
          </mc:Choice>
        </mc:AlternateContent>
        <mc:AlternateContent xmlns:mc="http://schemas.openxmlformats.org/markup-compatibility/2006">
          <mc:Choice Requires="x14">
            <control shapeId="19640" r:id="rId118" name="Group Box 184">
              <controlPr defaultSize="0" autoFill="0" autoPict="0">
                <anchor moveWithCells="1">
                  <from>
                    <xdr:col>1</xdr:col>
                    <xdr:colOff>6886575</xdr:colOff>
                    <xdr:row>93</xdr:row>
                    <xdr:rowOff>0</xdr:rowOff>
                  </from>
                  <to>
                    <xdr:col>6</xdr:col>
                    <xdr:colOff>0</xdr:colOff>
                    <xdr:row>94</xdr:row>
                    <xdr:rowOff>0</xdr:rowOff>
                  </to>
                </anchor>
              </controlPr>
            </control>
          </mc:Choice>
        </mc:AlternateContent>
        <mc:AlternateContent xmlns:mc="http://schemas.openxmlformats.org/markup-compatibility/2006">
          <mc:Choice Requires="x14">
            <control shapeId="19641" r:id="rId119" name="Group Box 185">
              <controlPr defaultSize="0" autoFill="0" autoPict="0">
                <anchor moveWithCells="1">
                  <from>
                    <xdr:col>2</xdr:col>
                    <xdr:colOff>0</xdr:colOff>
                    <xdr:row>76</xdr:row>
                    <xdr:rowOff>9525</xdr:rowOff>
                  </from>
                  <to>
                    <xdr:col>5</xdr:col>
                    <xdr:colOff>1981200</xdr:colOff>
                    <xdr:row>77</xdr:row>
                    <xdr:rowOff>9525</xdr:rowOff>
                  </to>
                </anchor>
              </controlPr>
            </control>
          </mc:Choice>
        </mc:AlternateContent>
        <mc:AlternateContent xmlns:mc="http://schemas.openxmlformats.org/markup-compatibility/2006">
          <mc:Choice Requires="x14">
            <control shapeId="19658" r:id="rId120" name="Option Button 202">
              <controlPr defaultSize="0" autoFill="0" autoLine="0" autoPict="0">
                <anchor moveWithCells="1">
                  <from>
                    <xdr:col>2</xdr:col>
                    <xdr:colOff>600075</xdr:colOff>
                    <xdr:row>76</xdr:row>
                    <xdr:rowOff>47625</xdr:rowOff>
                  </from>
                  <to>
                    <xdr:col>2</xdr:col>
                    <xdr:colOff>1247775</xdr:colOff>
                    <xdr:row>76</xdr:row>
                    <xdr:rowOff>219075</xdr:rowOff>
                  </to>
                </anchor>
              </controlPr>
            </control>
          </mc:Choice>
        </mc:AlternateContent>
        <mc:AlternateContent xmlns:mc="http://schemas.openxmlformats.org/markup-compatibility/2006">
          <mc:Choice Requires="x14">
            <control shapeId="19659" r:id="rId121" name="Option Button 203">
              <controlPr defaultSize="0" autoFill="0" autoLine="0" autoPict="0">
                <anchor moveWithCells="1">
                  <from>
                    <xdr:col>3</xdr:col>
                    <xdr:colOff>542925</xdr:colOff>
                    <xdr:row>76</xdr:row>
                    <xdr:rowOff>38100</xdr:rowOff>
                  </from>
                  <to>
                    <xdr:col>3</xdr:col>
                    <xdr:colOff>1257300</xdr:colOff>
                    <xdr:row>76</xdr:row>
                    <xdr:rowOff>219075</xdr:rowOff>
                  </to>
                </anchor>
              </controlPr>
            </control>
          </mc:Choice>
        </mc:AlternateContent>
        <mc:AlternateContent xmlns:mc="http://schemas.openxmlformats.org/markup-compatibility/2006">
          <mc:Choice Requires="x14">
            <control shapeId="19660" r:id="rId122" name="Option Button 204">
              <controlPr defaultSize="0" autoFill="0" autoLine="0" autoPict="0">
                <anchor moveWithCells="1">
                  <from>
                    <xdr:col>4</xdr:col>
                    <xdr:colOff>695325</xdr:colOff>
                    <xdr:row>76</xdr:row>
                    <xdr:rowOff>38100</xdr:rowOff>
                  </from>
                  <to>
                    <xdr:col>4</xdr:col>
                    <xdr:colOff>1343025</xdr:colOff>
                    <xdr:row>76</xdr:row>
                    <xdr:rowOff>228600</xdr:rowOff>
                  </to>
                </anchor>
              </controlPr>
            </control>
          </mc:Choice>
        </mc:AlternateContent>
        <mc:AlternateContent xmlns:mc="http://schemas.openxmlformats.org/markup-compatibility/2006">
          <mc:Choice Requires="x14">
            <control shapeId="19661" r:id="rId123" name="Option Button 205">
              <controlPr defaultSize="0" autoFill="0" autoLine="0" autoPict="0">
                <anchor moveWithCells="1">
                  <from>
                    <xdr:col>5</xdr:col>
                    <xdr:colOff>866775</xdr:colOff>
                    <xdr:row>76</xdr:row>
                    <xdr:rowOff>38100</xdr:rowOff>
                  </from>
                  <to>
                    <xdr:col>5</xdr:col>
                    <xdr:colOff>1266825</xdr:colOff>
                    <xdr:row>76</xdr:row>
                    <xdr:rowOff>219075</xdr:rowOff>
                  </to>
                </anchor>
              </controlPr>
            </control>
          </mc:Choice>
        </mc:AlternateContent>
        <mc:AlternateContent xmlns:mc="http://schemas.openxmlformats.org/markup-compatibility/2006">
          <mc:Choice Requires="x14">
            <control shapeId="19663" r:id="rId124" name="Option Button 207">
              <controlPr defaultSize="0" autoFill="0" autoLine="0" autoPict="0">
                <anchor moveWithCells="1">
                  <from>
                    <xdr:col>2</xdr:col>
                    <xdr:colOff>600075</xdr:colOff>
                    <xdr:row>77</xdr:row>
                    <xdr:rowOff>38100</xdr:rowOff>
                  </from>
                  <to>
                    <xdr:col>2</xdr:col>
                    <xdr:colOff>1076325</xdr:colOff>
                    <xdr:row>77</xdr:row>
                    <xdr:rowOff>228600</xdr:rowOff>
                  </to>
                </anchor>
              </controlPr>
            </control>
          </mc:Choice>
        </mc:AlternateContent>
        <mc:AlternateContent xmlns:mc="http://schemas.openxmlformats.org/markup-compatibility/2006">
          <mc:Choice Requires="x14">
            <control shapeId="19664" r:id="rId125" name="Option Button 208">
              <controlPr defaultSize="0" autoFill="0" autoLine="0" autoPict="0">
                <anchor moveWithCells="1">
                  <from>
                    <xdr:col>3</xdr:col>
                    <xdr:colOff>542925</xdr:colOff>
                    <xdr:row>77</xdr:row>
                    <xdr:rowOff>38100</xdr:rowOff>
                  </from>
                  <to>
                    <xdr:col>3</xdr:col>
                    <xdr:colOff>1019175</xdr:colOff>
                    <xdr:row>77</xdr:row>
                    <xdr:rowOff>219075</xdr:rowOff>
                  </to>
                </anchor>
              </controlPr>
            </control>
          </mc:Choice>
        </mc:AlternateContent>
        <mc:AlternateContent xmlns:mc="http://schemas.openxmlformats.org/markup-compatibility/2006">
          <mc:Choice Requires="x14">
            <control shapeId="19666" r:id="rId126" name="Option Button 210">
              <controlPr defaultSize="0" autoFill="0" autoLine="0" autoPict="0">
                <anchor moveWithCells="1">
                  <from>
                    <xdr:col>4</xdr:col>
                    <xdr:colOff>685800</xdr:colOff>
                    <xdr:row>77</xdr:row>
                    <xdr:rowOff>38100</xdr:rowOff>
                  </from>
                  <to>
                    <xdr:col>4</xdr:col>
                    <xdr:colOff>1304925</xdr:colOff>
                    <xdr:row>77</xdr:row>
                    <xdr:rowOff>219075</xdr:rowOff>
                  </to>
                </anchor>
              </controlPr>
            </control>
          </mc:Choice>
        </mc:AlternateContent>
        <mc:AlternateContent xmlns:mc="http://schemas.openxmlformats.org/markup-compatibility/2006">
          <mc:Choice Requires="x14">
            <control shapeId="19667" r:id="rId127" name="Option Button 211">
              <controlPr defaultSize="0" autoFill="0" autoLine="0" autoPict="0">
                <anchor moveWithCells="1">
                  <from>
                    <xdr:col>5</xdr:col>
                    <xdr:colOff>847725</xdr:colOff>
                    <xdr:row>77</xdr:row>
                    <xdr:rowOff>47625</xdr:rowOff>
                  </from>
                  <to>
                    <xdr:col>5</xdr:col>
                    <xdr:colOff>1400175</xdr:colOff>
                    <xdr:row>77</xdr:row>
                    <xdr:rowOff>228600</xdr:rowOff>
                  </to>
                </anchor>
              </controlPr>
            </control>
          </mc:Choice>
        </mc:AlternateContent>
        <mc:AlternateContent xmlns:mc="http://schemas.openxmlformats.org/markup-compatibility/2006">
          <mc:Choice Requires="x14">
            <control shapeId="19668" r:id="rId128" name="Option Button 212">
              <controlPr defaultSize="0" autoFill="0" autoLine="0" autoPict="0">
                <anchor moveWithCells="1">
                  <from>
                    <xdr:col>2</xdr:col>
                    <xdr:colOff>609600</xdr:colOff>
                    <xdr:row>78</xdr:row>
                    <xdr:rowOff>38100</xdr:rowOff>
                  </from>
                  <to>
                    <xdr:col>2</xdr:col>
                    <xdr:colOff>1104900</xdr:colOff>
                    <xdr:row>78</xdr:row>
                    <xdr:rowOff>219075</xdr:rowOff>
                  </to>
                </anchor>
              </controlPr>
            </control>
          </mc:Choice>
        </mc:AlternateContent>
        <mc:AlternateContent xmlns:mc="http://schemas.openxmlformats.org/markup-compatibility/2006">
          <mc:Choice Requires="x14">
            <control shapeId="19669" r:id="rId129" name="Option Button 213">
              <controlPr defaultSize="0" autoFill="0" autoLine="0" autoPict="0">
                <anchor moveWithCells="1">
                  <from>
                    <xdr:col>3</xdr:col>
                    <xdr:colOff>561975</xdr:colOff>
                    <xdr:row>78</xdr:row>
                    <xdr:rowOff>28575</xdr:rowOff>
                  </from>
                  <to>
                    <xdr:col>3</xdr:col>
                    <xdr:colOff>1057275</xdr:colOff>
                    <xdr:row>78</xdr:row>
                    <xdr:rowOff>228600</xdr:rowOff>
                  </to>
                </anchor>
              </controlPr>
            </control>
          </mc:Choice>
        </mc:AlternateContent>
        <mc:AlternateContent xmlns:mc="http://schemas.openxmlformats.org/markup-compatibility/2006">
          <mc:Choice Requires="x14">
            <control shapeId="19670" r:id="rId130" name="Option Button 214">
              <controlPr defaultSize="0" autoFill="0" autoLine="0" autoPict="0">
                <anchor moveWithCells="1">
                  <from>
                    <xdr:col>4</xdr:col>
                    <xdr:colOff>695325</xdr:colOff>
                    <xdr:row>78</xdr:row>
                    <xdr:rowOff>28575</xdr:rowOff>
                  </from>
                  <to>
                    <xdr:col>4</xdr:col>
                    <xdr:colOff>1476375</xdr:colOff>
                    <xdr:row>78</xdr:row>
                    <xdr:rowOff>228600</xdr:rowOff>
                  </to>
                </anchor>
              </controlPr>
            </control>
          </mc:Choice>
        </mc:AlternateContent>
        <mc:AlternateContent xmlns:mc="http://schemas.openxmlformats.org/markup-compatibility/2006">
          <mc:Choice Requires="x14">
            <control shapeId="19671" r:id="rId131" name="Option Button 215">
              <controlPr defaultSize="0" autoFill="0" autoLine="0" autoPict="0">
                <anchor moveWithCells="1">
                  <from>
                    <xdr:col>5</xdr:col>
                    <xdr:colOff>847725</xdr:colOff>
                    <xdr:row>78</xdr:row>
                    <xdr:rowOff>47625</xdr:rowOff>
                  </from>
                  <to>
                    <xdr:col>5</xdr:col>
                    <xdr:colOff>1381125</xdr:colOff>
                    <xdr:row>78</xdr:row>
                    <xdr:rowOff>228600</xdr:rowOff>
                  </to>
                </anchor>
              </controlPr>
            </control>
          </mc:Choice>
        </mc:AlternateContent>
        <mc:AlternateContent xmlns:mc="http://schemas.openxmlformats.org/markup-compatibility/2006">
          <mc:Choice Requires="x14">
            <control shapeId="19676" r:id="rId132" name="Option Button 220">
              <controlPr defaultSize="0" autoFill="0" autoLine="0" autoPict="0">
                <anchor moveWithCells="1">
                  <from>
                    <xdr:col>2</xdr:col>
                    <xdr:colOff>600075</xdr:colOff>
                    <xdr:row>80</xdr:row>
                    <xdr:rowOff>38100</xdr:rowOff>
                  </from>
                  <to>
                    <xdr:col>2</xdr:col>
                    <xdr:colOff>1066800</xdr:colOff>
                    <xdr:row>80</xdr:row>
                    <xdr:rowOff>228600</xdr:rowOff>
                  </to>
                </anchor>
              </controlPr>
            </control>
          </mc:Choice>
        </mc:AlternateContent>
        <mc:AlternateContent xmlns:mc="http://schemas.openxmlformats.org/markup-compatibility/2006">
          <mc:Choice Requires="x14">
            <control shapeId="19677" r:id="rId133" name="Option Button 221">
              <controlPr defaultSize="0" autoFill="0" autoLine="0" autoPict="0">
                <anchor moveWithCells="1">
                  <from>
                    <xdr:col>3</xdr:col>
                    <xdr:colOff>542925</xdr:colOff>
                    <xdr:row>80</xdr:row>
                    <xdr:rowOff>38100</xdr:rowOff>
                  </from>
                  <to>
                    <xdr:col>3</xdr:col>
                    <xdr:colOff>1057275</xdr:colOff>
                    <xdr:row>80</xdr:row>
                    <xdr:rowOff>219075</xdr:rowOff>
                  </to>
                </anchor>
              </controlPr>
            </control>
          </mc:Choice>
        </mc:AlternateContent>
        <mc:AlternateContent xmlns:mc="http://schemas.openxmlformats.org/markup-compatibility/2006">
          <mc:Choice Requires="x14">
            <control shapeId="19678" r:id="rId134" name="Option Button 222">
              <controlPr defaultSize="0" autoFill="0" autoLine="0" autoPict="0">
                <anchor moveWithCells="1">
                  <from>
                    <xdr:col>4</xdr:col>
                    <xdr:colOff>685800</xdr:colOff>
                    <xdr:row>80</xdr:row>
                    <xdr:rowOff>38100</xdr:rowOff>
                  </from>
                  <to>
                    <xdr:col>4</xdr:col>
                    <xdr:colOff>1219200</xdr:colOff>
                    <xdr:row>80</xdr:row>
                    <xdr:rowOff>228600</xdr:rowOff>
                  </to>
                </anchor>
              </controlPr>
            </control>
          </mc:Choice>
        </mc:AlternateContent>
        <mc:AlternateContent xmlns:mc="http://schemas.openxmlformats.org/markup-compatibility/2006">
          <mc:Choice Requires="x14">
            <control shapeId="19679" r:id="rId135" name="Option Button 223">
              <controlPr defaultSize="0" autoFill="0" autoLine="0" autoPict="0">
                <anchor moveWithCells="1">
                  <from>
                    <xdr:col>5</xdr:col>
                    <xdr:colOff>866775</xdr:colOff>
                    <xdr:row>80</xdr:row>
                    <xdr:rowOff>38100</xdr:rowOff>
                  </from>
                  <to>
                    <xdr:col>5</xdr:col>
                    <xdr:colOff>1419225</xdr:colOff>
                    <xdr:row>80</xdr:row>
                    <xdr:rowOff>219075</xdr:rowOff>
                  </to>
                </anchor>
              </controlPr>
            </control>
          </mc:Choice>
        </mc:AlternateContent>
        <mc:AlternateContent xmlns:mc="http://schemas.openxmlformats.org/markup-compatibility/2006">
          <mc:Choice Requires="x14">
            <control shapeId="19684" r:id="rId136" name="Option Button 228">
              <controlPr defaultSize="0" autoFill="0" autoLine="0" autoPict="0">
                <anchor moveWithCells="1">
                  <from>
                    <xdr:col>2</xdr:col>
                    <xdr:colOff>609600</xdr:colOff>
                    <xdr:row>83</xdr:row>
                    <xdr:rowOff>38100</xdr:rowOff>
                  </from>
                  <to>
                    <xdr:col>2</xdr:col>
                    <xdr:colOff>1133475</xdr:colOff>
                    <xdr:row>83</xdr:row>
                    <xdr:rowOff>228600</xdr:rowOff>
                  </to>
                </anchor>
              </controlPr>
            </control>
          </mc:Choice>
        </mc:AlternateContent>
        <mc:AlternateContent xmlns:mc="http://schemas.openxmlformats.org/markup-compatibility/2006">
          <mc:Choice Requires="x14">
            <control shapeId="19685" r:id="rId137" name="Option Button 229">
              <controlPr defaultSize="0" autoFill="0" autoLine="0" autoPict="0">
                <anchor moveWithCells="1">
                  <from>
                    <xdr:col>3</xdr:col>
                    <xdr:colOff>542925</xdr:colOff>
                    <xdr:row>83</xdr:row>
                    <xdr:rowOff>38100</xdr:rowOff>
                  </from>
                  <to>
                    <xdr:col>3</xdr:col>
                    <xdr:colOff>942975</xdr:colOff>
                    <xdr:row>83</xdr:row>
                    <xdr:rowOff>238125</xdr:rowOff>
                  </to>
                </anchor>
              </controlPr>
            </control>
          </mc:Choice>
        </mc:AlternateContent>
        <mc:AlternateContent xmlns:mc="http://schemas.openxmlformats.org/markup-compatibility/2006">
          <mc:Choice Requires="x14">
            <control shapeId="19686" r:id="rId138" name="Option Button 230">
              <controlPr defaultSize="0" autoFill="0" autoLine="0" autoPict="0">
                <anchor moveWithCells="1">
                  <from>
                    <xdr:col>4</xdr:col>
                    <xdr:colOff>695325</xdr:colOff>
                    <xdr:row>83</xdr:row>
                    <xdr:rowOff>38100</xdr:rowOff>
                  </from>
                  <to>
                    <xdr:col>4</xdr:col>
                    <xdr:colOff>1247775</xdr:colOff>
                    <xdr:row>83</xdr:row>
                    <xdr:rowOff>228600</xdr:rowOff>
                  </to>
                </anchor>
              </controlPr>
            </control>
          </mc:Choice>
        </mc:AlternateContent>
        <mc:AlternateContent xmlns:mc="http://schemas.openxmlformats.org/markup-compatibility/2006">
          <mc:Choice Requires="x14">
            <control shapeId="19687" r:id="rId139" name="Option Button 231">
              <controlPr defaultSize="0" autoFill="0" autoLine="0" autoPict="0">
                <anchor moveWithCells="1">
                  <from>
                    <xdr:col>5</xdr:col>
                    <xdr:colOff>866775</xdr:colOff>
                    <xdr:row>83</xdr:row>
                    <xdr:rowOff>47625</xdr:rowOff>
                  </from>
                  <to>
                    <xdr:col>5</xdr:col>
                    <xdr:colOff>1333500</xdr:colOff>
                    <xdr:row>83</xdr:row>
                    <xdr:rowOff>219075</xdr:rowOff>
                  </to>
                </anchor>
              </controlPr>
            </control>
          </mc:Choice>
        </mc:AlternateContent>
        <mc:AlternateContent xmlns:mc="http://schemas.openxmlformats.org/markup-compatibility/2006">
          <mc:Choice Requires="x14">
            <control shapeId="19688" r:id="rId140" name="Option Button 232">
              <controlPr defaultSize="0" autoFill="0" autoLine="0" autoPict="0">
                <anchor moveWithCells="1">
                  <from>
                    <xdr:col>2</xdr:col>
                    <xdr:colOff>600075</xdr:colOff>
                    <xdr:row>84</xdr:row>
                    <xdr:rowOff>38100</xdr:rowOff>
                  </from>
                  <to>
                    <xdr:col>2</xdr:col>
                    <xdr:colOff>981075</xdr:colOff>
                    <xdr:row>84</xdr:row>
                    <xdr:rowOff>228600</xdr:rowOff>
                  </to>
                </anchor>
              </controlPr>
            </control>
          </mc:Choice>
        </mc:AlternateContent>
        <mc:AlternateContent xmlns:mc="http://schemas.openxmlformats.org/markup-compatibility/2006">
          <mc:Choice Requires="x14">
            <control shapeId="19689" r:id="rId141" name="Option Button 233">
              <controlPr defaultSize="0" autoFill="0" autoLine="0" autoPict="0">
                <anchor moveWithCells="1">
                  <from>
                    <xdr:col>3</xdr:col>
                    <xdr:colOff>542925</xdr:colOff>
                    <xdr:row>84</xdr:row>
                    <xdr:rowOff>47625</xdr:rowOff>
                  </from>
                  <to>
                    <xdr:col>3</xdr:col>
                    <xdr:colOff>942975</xdr:colOff>
                    <xdr:row>84</xdr:row>
                    <xdr:rowOff>219075</xdr:rowOff>
                  </to>
                </anchor>
              </controlPr>
            </control>
          </mc:Choice>
        </mc:AlternateContent>
        <mc:AlternateContent xmlns:mc="http://schemas.openxmlformats.org/markup-compatibility/2006">
          <mc:Choice Requires="x14">
            <control shapeId="19690" r:id="rId142" name="Option Button 234">
              <controlPr defaultSize="0" autoFill="0" autoLine="0" autoPict="0">
                <anchor moveWithCells="1">
                  <from>
                    <xdr:col>4</xdr:col>
                    <xdr:colOff>685800</xdr:colOff>
                    <xdr:row>84</xdr:row>
                    <xdr:rowOff>38100</xdr:rowOff>
                  </from>
                  <to>
                    <xdr:col>4</xdr:col>
                    <xdr:colOff>1104900</xdr:colOff>
                    <xdr:row>84</xdr:row>
                    <xdr:rowOff>219075</xdr:rowOff>
                  </to>
                </anchor>
              </controlPr>
            </control>
          </mc:Choice>
        </mc:AlternateContent>
        <mc:AlternateContent xmlns:mc="http://schemas.openxmlformats.org/markup-compatibility/2006">
          <mc:Choice Requires="x14">
            <control shapeId="19691" r:id="rId143" name="Option Button 235">
              <controlPr defaultSize="0" autoFill="0" autoLine="0" autoPict="0">
                <anchor moveWithCells="1">
                  <from>
                    <xdr:col>5</xdr:col>
                    <xdr:colOff>866775</xdr:colOff>
                    <xdr:row>84</xdr:row>
                    <xdr:rowOff>38100</xdr:rowOff>
                  </from>
                  <to>
                    <xdr:col>5</xdr:col>
                    <xdr:colOff>1219200</xdr:colOff>
                    <xdr:row>84</xdr:row>
                    <xdr:rowOff>228600</xdr:rowOff>
                  </to>
                </anchor>
              </controlPr>
            </control>
          </mc:Choice>
        </mc:AlternateContent>
        <mc:AlternateContent xmlns:mc="http://schemas.openxmlformats.org/markup-compatibility/2006">
          <mc:Choice Requires="x14">
            <control shapeId="19692" r:id="rId144" name="Option Button 236">
              <controlPr defaultSize="0" autoFill="0" autoLine="0" autoPict="0">
                <anchor moveWithCells="1">
                  <from>
                    <xdr:col>2</xdr:col>
                    <xdr:colOff>600075</xdr:colOff>
                    <xdr:row>86</xdr:row>
                    <xdr:rowOff>38100</xdr:rowOff>
                  </from>
                  <to>
                    <xdr:col>2</xdr:col>
                    <xdr:colOff>923925</xdr:colOff>
                    <xdr:row>86</xdr:row>
                    <xdr:rowOff>228600</xdr:rowOff>
                  </to>
                </anchor>
              </controlPr>
            </control>
          </mc:Choice>
        </mc:AlternateContent>
        <mc:AlternateContent xmlns:mc="http://schemas.openxmlformats.org/markup-compatibility/2006">
          <mc:Choice Requires="x14">
            <control shapeId="19693" r:id="rId145" name="Option Button 237">
              <controlPr defaultSize="0" autoFill="0" autoLine="0" autoPict="0">
                <anchor moveWithCells="1">
                  <from>
                    <xdr:col>3</xdr:col>
                    <xdr:colOff>542925</xdr:colOff>
                    <xdr:row>86</xdr:row>
                    <xdr:rowOff>38100</xdr:rowOff>
                  </from>
                  <to>
                    <xdr:col>3</xdr:col>
                    <xdr:colOff>904875</xdr:colOff>
                    <xdr:row>86</xdr:row>
                    <xdr:rowOff>228600</xdr:rowOff>
                  </to>
                </anchor>
              </controlPr>
            </control>
          </mc:Choice>
        </mc:AlternateContent>
        <mc:AlternateContent xmlns:mc="http://schemas.openxmlformats.org/markup-compatibility/2006">
          <mc:Choice Requires="x14">
            <control shapeId="19694" r:id="rId146" name="Option Button 238">
              <controlPr defaultSize="0" autoFill="0" autoLine="0" autoPict="0">
                <anchor moveWithCells="1">
                  <from>
                    <xdr:col>4</xdr:col>
                    <xdr:colOff>695325</xdr:colOff>
                    <xdr:row>86</xdr:row>
                    <xdr:rowOff>38100</xdr:rowOff>
                  </from>
                  <to>
                    <xdr:col>4</xdr:col>
                    <xdr:colOff>1095375</xdr:colOff>
                    <xdr:row>86</xdr:row>
                    <xdr:rowOff>228600</xdr:rowOff>
                  </to>
                </anchor>
              </controlPr>
            </control>
          </mc:Choice>
        </mc:AlternateContent>
        <mc:AlternateContent xmlns:mc="http://schemas.openxmlformats.org/markup-compatibility/2006">
          <mc:Choice Requires="x14">
            <control shapeId="19695" r:id="rId147" name="Option Button 239">
              <controlPr defaultSize="0" autoFill="0" autoLine="0" autoPict="0">
                <anchor moveWithCells="1">
                  <from>
                    <xdr:col>5</xdr:col>
                    <xdr:colOff>866775</xdr:colOff>
                    <xdr:row>86</xdr:row>
                    <xdr:rowOff>38100</xdr:rowOff>
                  </from>
                  <to>
                    <xdr:col>5</xdr:col>
                    <xdr:colOff>1228725</xdr:colOff>
                    <xdr:row>86</xdr:row>
                    <xdr:rowOff>228600</xdr:rowOff>
                  </to>
                </anchor>
              </controlPr>
            </control>
          </mc:Choice>
        </mc:AlternateContent>
        <mc:AlternateContent xmlns:mc="http://schemas.openxmlformats.org/markup-compatibility/2006">
          <mc:Choice Requires="x14">
            <control shapeId="19696" r:id="rId148" name="Option Button 240">
              <controlPr defaultSize="0" autoFill="0" autoLine="0" autoPict="0">
                <anchor moveWithCells="1">
                  <from>
                    <xdr:col>2</xdr:col>
                    <xdr:colOff>581025</xdr:colOff>
                    <xdr:row>87</xdr:row>
                    <xdr:rowOff>38100</xdr:rowOff>
                  </from>
                  <to>
                    <xdr:col>2</xdr:col>
                    <xdr:colOff>1095375</xdr:colOff>
                    <xdr:row>87</xdr:row>
                    <xdr:rowOff>228600</xdr:rowOff>
                  </to>
                </anchor>
              </controlPr>
            </control>
          </mc:Choice>
        </mc:AlternateContent>
        <mc:AlternateContent xmlns:mc="http://schemas.openxmlformats.org/markup-compatibility/2006">
          <mc:Choice Requires="x14">
            <control shapeId="19697" r:id="rId149" name="Option Button 241">
              <controlPr defaultSize="0" autoFill="0" autoLine="0" autoPict="0">
                <anchor moveWithCells="1">
                  <from>
                    <xdr:col>3</xdr:col>
                    <xdr:colOff>542925</xdr:colOff>
                    <xdr:row>87</xdr:row>
                    <xdr:rowOff>47625</xdr:rowOff>
                  </from>
                  <to>
                    <xdr:col>3</xdr:col>
                    <xdr:colOff>1247775</xdr:colOff>
                    <xdr:row>87</xdr:row>
                    <xdr:rowOff>219075</xdr:rowOff>
                  </to>
                </anchor>
              </controlPr>
            </control>
          </mc:Choice>
        </mc:AlternateContent>
        <mc:AlternateContent xmlns:mc="http://schemas.openxmlformats.org/markup-compatibility/2006">
          <mc:Choice Requires="x14">
            <control shapeId="19698" r:id="rId150" name="Option Button 242">
              <controlPr defaultSize="0" autoFill="0" autoLine="0" autoPict="0">
                <anchor moveWithCells="1">
                  <from>
                    <xdr:col>4</xdr:col>
                    <xdr:colOff>685800</xdr:colOff>
                    <xdr:row>87</xdr:row>
                    <xdr:rowOff>47625</xdr:rowOff>
                  </from>
                  <to>
                    <xdr:col>4</xdr:col>
                    <xdr:colOff>1095375</xdr:colOff>
                    <xdr:row>87</xdr:row>
                    <xdr:rowOff>219075</xdr:rowOff>
                  </to>
                </anchor>
              </controlPr>
            </control>
          </mc:Choice>
        </mc:AlternateContent>
        <mc:AlternateContent xmlns:mc="http://schemas.openxmlformats.org/markup-compatibility/2006">
          <mc:Choice Requires="x14">
            <control shapeId="19699" r:id="rId151" name="Option Button 243">
              <controlPr defaultSize="0" autoFill="0" autoLine="0" autoPict="0">
                <anchor moveWithCells="1">
                  <from>
                    <xdr:col>5</xdr:col>
                    <xdr:colOff>866775</xdr:colOff>
                    <xdr:row>87</xdr:row>
                    <xdr:rowOff>38100</xdr:rowOff>
                  </from>
                  <to>
                    <xdr:col>5</xdr:col>
                    <xdr:colOff>1266825</xdr:colOff>
                    <xdr:row>87</xdr:row>
                    <xdr:rowOff>238125</xdr:rowOff>
                  </to>
                </anchor>
              </controlPr>
            </control>
          </mc:Choice>
        </mc:AlternateContent>
        <mc:AlternateContent xmlns:mc="http://schemas.openxmlformats.org/markup-compatibility/2006">
          <mc:Choice Requires="x14">
            <control shapeId="19700" r:id="rId152" name="Option Button 244">
              <controlPr defaultSize="0" autoFill="0" autoLine="0" autoPict="0">
                <anchor moveWithCells="1">
                  <from>
                    <xdr:col>2</xdr:col>
                    <xdr:colOff>600075</xdr:colOff>
                    <xdr:row>89</xdr:row>
                    <xdr:rowOff>47625</xdr:rowOff>
                  </from>
                  <to>
                    <xdr:col>2</xdr:col>
                    <xdr:colOff>1057275</xdr:colOff>
                    <xdr:row>89</xdr:row>
                    <xdr:rowOff>228600</xdr:rowOff>
                  </to>
                </anchor>
              </controlPr>
            </control>
          </mc:Choice>
        </mc:AlternateContent>
        <mc:AlternateContent xmlns:mc="http://schemas.openxmlformats.org/markup-compatibility/2006">
          <mc:Choice Requires="x14">
            <control shapeId="19701" r:id="rId153" name="Option Button 245">
              <controlPr defaultSize="0" autoFill="0" autoLine="0" autoPict="0">
                <anchor moveWithCells="1">
                  <from>
                    <xdr:col>3</xdr:col>
                    <xdr:colOff>542925</xdr:colOff>
                    <xdr:row>89</xdr:row>
                    <xdr:rowOff>47625</xdr:rowOff>
                  </from>
                  <to>
                    <xdr:col>3</xdr:col>
                    <xdr:colOff>914400</xdr:colOff>
                    <xdr:row>89</xdr:row>
                    <xdr:rowOff>228600</xdr:rowOff>
                  </to>
                </anchor>
              </controlPr>
            </control>
          </mc:Choice>
        </mc:AlternateContent>
        <mc:AlternateContent xmlns:mc="http://schemas.openxmlformats.org/markup-compatibility/2006">
          <mc:Choice Requires="x14">
            <control shapeId="19702" r:id="rId154" name="Option Button 246">
              <controlPr defaultSize="0" autoFill="0" autoLine="0" autoPict="0">
                <anchor moveWithCells="1">
                  <from>
                    <xdr:col>4</xdr:col>
                    <xdr:colOff>685800</xdr:colOff>
                    <xdr:row>89</xdr:row>
                    <xdr:rowOff>38100</xdr:rowOff>
                  </from>
                  <to>
                    <xdr:col>4</xdr:col>
                    <xdr:colOff>1114425</xdr:colOff>
                    <xdr:row>89</xdr:row>
                    <xdr:rowOff>219075</xdr:rowOff>
                  </to>
                </anchor>
              </controlPr>
            </control>
          </mc:Choice>
        </mc:AlternateContent>
        <mc:AlternateContent xmlns:mc="http://schemas.openxmlformats.org/markup-compatibility/2006">
          <mc:Choice Requires="x14">
            <control shapeId="19703" r:id="rId155" name="Option Button 247">
              <controlPr defaultSize="0" autoFill="0" autoLine="0" autoPict="0">
                <anchor moveWithCells="1">
                  <from>
                    <xdr:col>5</xdr:col>
                    <xdr:colOff>847725</xdr:colOff>
                    <xdr:row>89</xdr:row>
                    <xdr:rowOff>38100</xdr:rowOff>
                  </from>
                  <to>
                    <xdr:col>5</xdr:col>
                    <xdr:colOff>1295400</xdr:colOff>
                    <xdr:row>89</xdr:row>
                    <xdr:rowOff>228600</xdr:rowOff>
                  </to>
                </anchor>
              </controlPr>
            </control>
          </mc:Choice>
        </mc:AlternateContent>
        <mc:AlternateContent xmlns:mc="http://schemas.openxmlformats.org/markup-compatibility/2006">
          <mc:Choice Requires="x14">
            <control shapeId="19704" r:id="rId156" name="Option Button 248">
              <controlPr defaultSize="0" autoFill="0" autoLine="0" autoPict="0">
                <anchor moveWithCells="1">
                  <from>
                    <xdr:col>2</xdr:col>
                    <xdr:colOff>581025</xdr:colOff>
                    <xdr:row>91</xdr:row>
                    <xdr:rowOff>38100</xdr:rowOff>
                  </from>
                  <to>
                    <xdr:col>2</xdr:col>
                    <xdr:colOff>1104900</xdr:colOff>
                    <xdr:row>91</xdr:row>
                    <xdr:rowOff>228600</xdr:rowOff>
                  </to>
                </anchor>
              </controlPr>
            </control>
          </mc:Choice>
        </mc:AlternateContent>
        <mc:AlternateContent xmlns:mc="http://schemas.openxmlformats.org/markup-compatibility/2006">
          <mc:Choice Requires="x14">
            <control shapeId="19705" r:id="rId157" name="Option Button 249">
              <controlPr defaultSize="0" autoFill="0" autoLine="0" autoPict="0">
                <anchor moveWithCells="1">
                  <from>
                    <xdr:col>3</xdr:col>
                    <xdr:colOff>542925</xdr:colOff>
                    <xdr:row>91</xdr:row>
                    <xdr:rowOff>38100</xdr:rowOff>
                  </from>
                  <to>
                    <xdr:col>3</xdr:col>
                    <xdr:colOff>1038225</xdr:colOff>
                    <xdr:row>91</xdr:row>
                    <xdr:rowOff>228600</xdr:rowOff>
                  </to>
                </anchor>
              </controlPr>
            </control>
          </mc:Choice>
        </mc:AlternateContent>
        <mc:AlternateContent xmlns:mc="http://schemas.openxmlformats.org/markup-compatibility/2006">
          <mc:Choice Requires="x14">
            <control shapeId="19706" r:id="rId158" name="Option Button 250">
              <controlPr defaultSize="0" autoFill="0" autoLine="0" autoPict="0">
                <anchor moveWithCells="1">
                  <from>
                    <xdr:col>4</xdr:col>
                    <xdr:colOff>695325</xdr:colOff>
                    <xdr:row>91</xdr:row>
                    <xdr:rowOff>38100</xdr:rowOff>
                  </from>
                  <to>
                    <xdr:col>4</xdr:col>
                    <xdr:colOff>1143000</xdr:colOff>
                    <xdr:row>91</xdr:row>
                    <xdr:rowOff>219075</xdr:rowOff>
                  </to>
                </anchor>
              </controlPr>
            </control>
          </mc:Choice>
        </mc:AlternateContent>
        <mc:AlternateContent xmlns:mc="http://schemas.openxmlformats.org/markup-compatibility/2006">
          <mc:Choice Requires="x14">
            <control shapeId="19707" r:id="rId159" name="Option Button 251">
              <controlPr defaultSize="0" autoFill="0" autoLine="0" autoPict="0">
                <anchor moveWithCells="1">
                  <from>
                    <xdr:col>5</xdr:col>
                    <xdr:colOff>866775</xdr:colOff>
                    <xdr:row>91</xdr:row>
                    <xdr:rowOff>38100</xdr:rowOff>
                  </from>
                  <to>
                    <xdr:col>5</xdr:col>
                    <xdr:colOff>1447800</xdr:colOff>
                    <xdr:row>91</xdr:row>
                    <xdr:rowOff>219075</xdr:rowOff>
                  </to>
                </anchor>
              </controlPr>
            </control>
          </mc:Choice>
        </mc:AlternateContent>
        <mc:AlternateContent xmlns:mc="http://schemas.openxmlformats.org/markup-compatibility/2006">
          <mc:Choice Requires="x14">
            <control shapeId="19708" r:id="rId160" name="Option Button 252">
              <controlPr defaultSize="0" autoFill="0" autoLine="0" autoPict="0">
                <anchor moveWithCells="1">
                  <from>
                    <xdr:col>2</xdr:col>
                    <xdr:colOff>600075</xdr:colOff>
                    <xdr:row>92</xdr:row>
                    <xdr:rowOff>38100</xdr:rowOff>
                  </from>
                  <to>
                    <xdr:col>2</xdr:col>
                    <xdr:colOff>1095375</xdr:colOff>
                    <xdr:row>92</xdr:row>
                    <xdr:rowOff>228600</xdr:rowOff>
                  </to>
                </anchor>
              </controlPr>
            </control>
          </mc:Choice>
        </mc:AlternateContent>
        <mc:AlternateContent xmlns:mc="http://schemas.openxmlformats.org/markup-compatibility/2006">
          <mc:Choice Requires="x14">
            <control shapeId="19709" r:id="rId161" name="Option Button 253">
              <controlPr defaultSize="0" autoFill="0" autoLine="0" autoPict="0">
                <anchor moveWithCells="1">
                  <from>
                    <xdr:col>3</xdr:col>
                    <xdr:colOff>542925</xdr:colOff>
                    <xdr:row>92</xdr:row>
                    <xdr:rowOff>38100</xdr:rowOff>
                  </from>
                  <to>
                    <xdr:col>3</xdr:col>
                    <xdr:colOff>1114425</xdr:colOff>
                    <xdr:row>92</xdr:row>
                    <xdr:rowOff>219075</xdr:rowOff>
                  </to>
                </anchor>
              </controlPr>
            </control>
          </mc:Choice>
        </mc:AlternateContent>
        <mc:AlternateContent xmlns:mc="http://schemas.openxmlformats.org/markup-compatibility/2006">
          <mc:Choice Requires="x14">
            <control shapeId="19710" r:id="rId162" name="Option Button 254">
              <controlPr defaultSize="0" autoFill="0" autoLine="0" autoPict="0">
                <anchor moveWithCells="1">
                  <from>
                    <xdr:col>4</xdr:col>
                    <xdr:colOff>695325</xdr:colOff>
                    <xdr:row>92</xdr:row>
                    <xdr:rowOff>47625</xdr:rowOff>
                  </from>
                  <to>
                    <xdr:col>4</xdr:col>
                    <xdr:colOff>1247775</xdr:colOff>
                    <xdr:row>92</xdr:row>
                    <xdr:rowOff>228600</xdr:rowOff>
                  </to>
                </anchor>
              </controlPr>
            </control>
          </mc:Choice>
        </mc:AlternateContent>
        <mc:AlternateContent xmlns:mc="http://schemas.openxmlformats.org/markup-compatibility/2006">
          <mc:Choice Requires="x14">
            <control shapeId="19711" r:id="rId163" name="Option Button 255">
              <controlPr defaultSize="0" autoFill="0" autoLine="0" autoPict="0">
                <anchor moveWithCells="1">
                  <from>
                    <xdr:col>5</xdr:col>
                    <xdr:colOff>866775</xdr:colOff>
                    <xdr:row>92</xdr:row>
                    <xdr:rowOff>38100</xdr:rowOff>
                  </from>
                  <to>
                    <xdr:col>5</xdr:col>
                    <xdr:colOff>1476375</xdr:colOff>
                    <xdr:row>92</xdr:row>
                    <xdr:rowOff>219075</xdr:rowOff>
                  </to>
                </anchor>
              </controlPr>
            </control>
          </mc:Choice>
        </mc:AlternateContent>
        <mc:AlternateContent xmlns:mc="http://schemas.openxmlformats.org/markup-compatibility/2006">
          <mc:Choice Requires="x14">
            <control shapeId="19712" r:id="rId164" name="Option Button 256">
              <controlPr defaultSize="0" autoFill="0" autoLine="0" autoPict="0">
                <anchor moveWithCells="1">
                  <from>
                    <xdr:col>2</xdr:col>
                    <xdr:colOff>600075</xdr:colOff>
                    <xdr:row>93</xdr:row>
                    <xdr:rowOff>47625</xdr:rowOff>
                  </from>
                  <to>
                    <xdr:col>2</xdr:col>
                    <xdr:colOff>1076325</xdr:colOff>
                    <xdr:row>93</xdr:row>
                    <xdr:rowOff>228600</xdr:rowOff>
                  </to>
                </anchor>
              </controlPr>
            </control>
          </mc:Choice>
        </mc:AlternateContent>
        <mc:AlternateContent xmlns:mc="http://schemas.openxmlformats.org/markup-compatibility/2006">
          <mc:Choice Requires="x14">
            <control shapeId="19713" r:id="rId165" name="Option Button 257">
              <controlPr defaultSize="0" autoFill="0" autoLine="0" autoPict="0">
                <anchor moveWithCells="1">
                  <from>
                    <xdr:col>3</xdr:col>
                    <xdr:colOff>561975</xdr:colOff>
                    <xdr:row>93</xdr:row>
                    <xdr:rowOff>38100</xdr:rowOff>
                  </from>
                  <to>
                    <xdr:col>3</xdr:col>
                    <xdr:colOff>1028700</xdr:colOff>
                    <xdr:row>93</xdr:row>
                    <xdr:rowOff>228600</xdr:rowOff>
                  </to>
                </anchor>
              </controlPr>
            </control>
          </mc:Choice>
        </mc:AlternateContent>
        <mc:AlternateContent xmlns:mc="http://schemas.openxmlformats.org/markup-compatibility/2006">
          <mc:Choice Requires="x14">
            <control shapeId="19714" r:id="rId166" name="Option Button 258">
              <controlPr defaultSize="0" autoFill="0" autoLine="0" autoPict="0">
                <anchor moveWithCells="1">
                  <from>
                    <xdr:col>4</xdr:col>
                    <xdr:colOff>695325</xdr:colOff>
                    <xdr:row>93</xdr:row>
                    <xdr:rowOff>47625</xdr:rowOff>
                  </from>
                  <to>
                    <xdr:col>4</xdr:col>
                    <xdr:colOff>1095375</xdr:colOff>
                    <xdr:row>93</xdr:row>
                    <xdr:rowOff>228600</xdr:rowOff>
                  </to>
                </anchor>
              </controlPr>
            </control>
          </mc:Choice>
        </mc:AlternateContent>
        <mc:AlternateContent xmlns:mc="http://schemas.openxmlformats.org/markup-compatibility/2006">
          <mc:Choice Requires="x14">
            <control shapeId="19715" r:id="rId167" name="Option Button 259">
              <controlPr defaultSize="0" autoFill="0" autoLine="0" autoPict="0">
                <anchor moveWithCells="1">
                  <from>
                    <xdr:col>5</xdr:col>
                    <xdr:colOff>866775</xdr:colOff>
                    <xdr:row>93</xdr:row>
                    <xdr:rowOff>38100</xdr:rowOff>
                  </from>
                  <to>
                    <xdr:col>5</xdr:col>
                    <xdr:colOff>1323975</xdr:colOff>
                    <xdr:row>93</xdr:row>
                    <xdr:rowOff>228600</xdr:rowOff>
                  </to>
                </anchor>
              </controlPr>
            </control>
          </mc:Choice>
        </mc:AlternateContent>
        <mc:AlternateContent xmlns:mc="http://schemas.openxmlformats.org/markup-compatibility/2006">
          <mc:Choice Requires="x14">
            <control shapeId="19716" r:id="rId168" name="Group Box 260">
              <controlPr defaultSize="0" autoFill="0" autoPict="0">
                <anchor moveWithCells="1">
                  <from>
                    <xdr:col>2</xdr:col>
                    <xdr:colOff>0</xdr:colOff>
                    <xdr:row>94</xdr:row>
                    <xdr:rowOff>0</xdr:rowOff>
                  </from>
                  <to>
                    <xdr:col>6</xdr:col>
                    <xdr:colOff>0</xdr:colOff>
                    <xdr:row>95</xdr:row>
                    <xdr:rowOff>0</xdr:rowOff>
                  </to>
                </anchor>
              </controlPr>
            </control>
          </mc:Choice>
        </mc:AlternateContent>
        <mc:AlternateContent xmlns:mc="http://schemas.openxmlformats.org/markup-compatibility/2006">
          <mc:Choice Requires="x14">
            <control shapeId="19717" r:id="rId169" name="Option Button 261">
              <controlPr defaultSize="0" autoFill="0" autoLine="0" autoPict="0">
                <anchor moveWithCells="1">
                  <from>
                    <xdr:col>2</xdr:col>
                    <xdr:colOff>581025</xdr:colOff>
                    <xdr:row>94</xdr:row>
                    <xdr:rowOff>47625</xdr:rowOff>
                  </from>
                  <to>
                    <xdr:col>2</xdr:col>
                    <xdr:colOff>1019175</xdr:colOff>
                    <xdr:row>94</xdr:row>
                    <xdr:rowOff>219075</xdr:rowOff>
                  </to>
                </anchor>
              </controlPr>
            </control>
          </mc:Choice>
        </mc:AlternateContent>
        <mc:AlternateContent xmlns:mc="http://schemas.openxmlformats.org/markup-compatibility/2006">
          <mc:Choice Requires="x14">
            <control shapeId="19718" r:id="rId170" name="Option Button 262">
              <controlPr defaultSize="0" autoFill="0" autoLine="0" autoPict="0">
                <anchor moveWithCells="1">
                  <from>
                    <xdr:col>3</xdr:col>
                    <xdr:colOff>542925</xdr:colOff>
                    <xdr:row>94</xdr:row>
                    <xdr:rowOff>38100</xdr:rowOff>
                  </from>
                  <to>
                    <xdr:col>3</xdr:col>
                    <xdr:colOff>1057275</xdr:colOff>
                    <xdr:row>94</xdr:row>
                    <xdr:rowOff>228600</xdr:rowOff>
                  </to>
                </anchor>
              </controlPr>
            </control>
          </mc:Choice>
        </mc:AlternateContent>
        <mc:AlternateContent xmlns:mc="http://schemas.openxmlformats.org/markup-compatibility/2006">
          <mc:Choice Requires="x14">
            <control shapeId="19719" r:id="rId171" name="Option Button 263">
              <controlPr defaultSize="0" autoFill="0" autoLine="0" autoPict="0">
                <anchor moveWithCells="1">
                  <from>
                    <xdr:col>4</xdr:col>
                    <xdr:colOff>695325</xdr:colOff>
                    <xdr:row>94</xdr:row>
                    <xdr:rowOff>47625</xdr:rowOff>
                  </from>
                  <to>
                    <xdr:col>4</xdr:col>
                    <xdr:colOff>1333500</xdr:colOff>
                    <xdr:row>94</xdr:row>
                    <xdr:rowOff>219075</xdr:rowOff>
                  </to>
                </anchor>
              </controlPr>
            </control>
          </mc:Choice>
        </mc:AlternateContent>
        <mc:AlternateContent xmlns:mc="http://schemas.openxmlformats.org/markup-compatibility/2006">
          <mc:Choice Requires="x14">
            <control shapeId="19720" r:id="rId172" name="Option Button 264">
              <controlPr defaultSize="0" autoFill="0" autoLine="0" autoPict="0">
                <anchor moveWithCells="1">
                  <from>
                    <xdr:col>5</xdr:col>
                    <xdr:colOff>866775</xdr:colOff>
                    <xdr:row>94</xdr:row>
                    <xdr:rowOff>38100</xdr:rowOff>
                  </from>
                  <to>
                    <xdr:col>5</xdr:col>
                    <xdr:colOff>1419225</xdr:colOff>
                    <xdr:row>94</xdr:row>
                    <xdr:rowOff>219075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127"/>
  <sheetViews>
    <sheetView showGridLines="0" showRowColHeaders="0" showRuler="0" zoomScale="90" zoomScaleNormal="90" zoomScalePageLayoutView="145" workbookViewId="0">
      <selection activeCell="F13" sqref="F13"/>
    </sheetView>
  </sheetViews>
  <sheetFormatPr defaultColWidth="8.625" defaultRowHeight="0" customHeight="1" zeroHeight="1" x14ac:dyDescent="0.2"/>
  <cols>
    <col min="1" max="1" width="4" style="2" customWidth="1"/>
    <col min="2" max="2" width="20.875" style="1" customWidth="1"/>
    <col min="3" max="7" width="11.625" style="1" customWidth="1"/>
    <col min="8" max="8" width="9.125" style="1" hidden="1" customWidth="1"/>
    <col min="9" max="10" width="0" style="1" hidden="1" customWidth="1"/>
    <col min="11" max="11" width="34.5" style="1" hidden="1" customWidth="1"/>
    <col min="12" max="16" width="0" style="1" hidden="1" customWidth="1"/>
    <col min="17" max="16384" width="8.625" style="1"/>
  </cols>
  <sheetData>
    <row r="1" spans="1:11" ht="18" x14ac:dyDescent="0.2">
      <c r="A1" s="559" t="s">
        <v>530</v>
      </c>
      <c r="B1" s="559"/>
      <c r="C1" s="559"/>
      <c r="D1" s="559"/>
      <c r="E1" s="559"/>
      <c r="F1" s="559"/>
      <c r="G1" s="559"/>
    </row>
    <row r="2" spans="1:11" ht="12.75" x14ac:dyDescent="0.2"/>
    <row r="3" spans="1:11" ht="15.75" x14ac:dyDescent="0.25">
      <c r="B3" s="95" t="s">
        <v>529</v>
      </c>
    </row>
    <row r="4" spans="1:11" ht="17.100000000000001" customHeight="1" x14ac:dyDescent="0.2">
      <c r="B4" s="719"/>
      <c r="C4" s="560"/>
      <c r="D4" s="560"/>
      <c r="E4" s="742" t="s">
        <v>1147</v>
      </c>
      <c r="F4" s="742"/>
      <c r="G4" s="48"/>
    </row>
    <row r="5" spans="1:11" ht="30.95" customHeight="1" x14ac:dyDescent="0.2">
      <c r="A5" s="3" t="s">
        <v>528</v>
      </c>
      <c r="B5" s="561" t="s">
        <v>527</v>
      </c>
      <c r="C5" s="561"/>
      <c r="D5" s="561"/>
      <c r="E5" s="743" t="s">
        <v>1985</v>
      </c>
      <c r="F5" s="743"/>
      <c r="K5" s="1" t="str" cm="1">
        <f t="array" ref="K5">_xlfn.IFS($E$5="YES", "Yes", $E$5="yes", "Yes", $E$5="Yes", "Yes", $E$5="NO", "No", $E$5="no", "No", $E$5="No", "No")</f>
        <v>Yes</v>
      </c>
    </row>
    <row r="6" spans="1:11" ht="45.95" customHeight="1" x14ac:dyDescent="0.2">
      <c r="A6" s="3"/>
      <c r="B6" s="561" t="s">
        <v>526</v>
      </c>
      <c r="C6" s="561"/>
      <c r="D6" s="561"/>
      <c r="E6" s="743" t="s">
        <v>1985</v>
      </c>
      <c r="F6" s="743"/>
      <c r="K6" s="1" t="str" cm="1">
        <f t="array" ref="K6">_xlfn.IFS($E$6="YES", "Yes", $E$6="yes", "Yes", $E$6="Yes", "Yes", $E$6="NO", "No", $E$6="no", "No", $E$6="No", "No")</f>
        <v>Yes</v>
      </c>
    </row>
    <row r="7" spans="1:11" ht="21" customHeight="1" x14ac:dyDescent="0.2">
      <c r="A7" s="3"/>
      <c r="B7" s="5"/>
      <c r="C7" s="5"/>
      <c r="D7" s="5"/>
      <c r="E7" s="60"/>
    </row>
    <row r="8" spans="1:11" ht="35.1" customHeight="1" x14ac:dyDescent="0.2">
      <c r="A8" s="3" t="s">
        <v>525</v>
      </c>
      <c r="B8" s="741" t="s">
        <v>1954</v>
      </c>
      <c r="C8" s="741"/>
      <c r="D8" s="741"/>
      <c r="E8" s="741"/>
      <c r="F8" s="741"/>
      <c r="G8" s="741"/>
    </row>
    <row r="9" spans="1:11" ht="30" customHeight="1" x14ac:dyDescent="0.2">
      <c r="A9" s="3"/>
      <c r="B9" s="715" t="s">
        <v>1542</v>
      </c>
      <c r="C9" s="715"/>
      <c r="D9" s="715"/>
      <c r="E9" s="715"/>
      <c r="F9" s="715"/>
      <c r="G9" s="715"/>
      <c r="H9" s="57"/>
      <c r="I9" s="57"/>
    </row>
    <row r="10" spans="1:11" ht="12" customHeight="1" x14ac:dyDescent="0.2">
      <c r="A10" s="3"/>
    </row>
    <row r="11" spans="1:11" ht="25.5" x14ac:dyDescent="0.2">
      <c r="A11" s="3"/>
      <c r="B11" s="147"/>
      <c r="C11" s="14" t="s">
        <v>524</v>
      </c>
      <c r="D11" s="14" t="s">
        <v>523</v>
      </c>
      <c r="E11" s="14" t="s">
        <v>522</v>
      </c>
      <c r="F11" s="146"/>
    </row>
    <row r="12" spans="1:11" ht="15.95" customHeight="1" x14ac:dyDescent="0.2">
      <c r="A12" s="3"/>
      <c r="B12" s="44" t="s">
        <v>389</v>
      </c>
      <c r="C12" s="289">
        <v>67</v>
      </c>
      <c r="D12" s="289">
        <v>19</v>
      </c>
      <c r="E12" s="289">
        <v>9</v>
      </c>
      <c r="F12" s="144"/>
    </row>
    <row r="13" spans="1:11" ht="15.95" customHeight="1" x14ac:dyDescent="0.2">
      <c r="A13" s="3"/>
      <c r="B13" s="44" t="s">
        <v>388</v>
      </c>
      <c r="C13" s="289">
        <v>66</v>
      </c>
      <c r="D13" s="289">
        <v>25</v>
      </c>
      <c r="E13" s="289">
        <v>11</v>
      </c>
      <c r="F13" s="144"/>
    </row>
    <row r="14" spans="1:11" ht="15.95" customHeight="1" x14ac:dyDescent="0.2">
      <c r="A14" s="3"/>
      <c r="B14" s="44" t="s">
        <v>1317</v>
      </c>
      <c r="C14" s="289" t="s">
        <v>603</v>
      </c>
      <c r="D14" s="289" t="s">
        <v>603</v>
      </c>
      <c r="E14" s="289" t="s">
        <v>603</v>
      </c>
      <c r="F14" s="144"/>
    </row>
    <row r="15" spans="1:11" ht="15.95" customHeight="1" x14ac:dyDescent="0.2">
      <c r="A15" s="3"/>
      <c r="B15" s="86" t="s">
        <v>205</v>
      </c>
      <c r="C15" s="145">
        <f>SUM(C12:C14)</f>
        <v>133</v>
      </c>
      <c r="D15" s="145">
        <f t="shared" ref="D15:E15" si="0">SUM(D12:D14)</f>
        <v>44</v>
      </c>
      <c r="E15" s="145">
        <f t="shared" si="0"/>
        <v>20</v>
      </c>
      <c r="F15" s="144"/>
    </row>
    <row r="16" spans="1:11" ht="24" customHeight="1" x14ac:dyDescent="0.2"/>
    <row r="17" spans="1:13" ht="15.75" x14ac:dyDescent="0.2">
      <c r="B17" s="138" t="s">
        <v>521</v>
      </c>
      <c r="C17" s="2"/>
      <c r="D17" s="65"/>
    </row>
    <row r="18" spans="1:13" ht="21" customHeight="1" x14ac:dyDescent="0.2">
      <c r="A18" s="38" t="s">
        <v>520</v>
      </c>
      <c r="B18" s="737" t="s">
        <v>519</v>
      </c>
      <c r="C18" s="737"/>
      <c r="D18" s="737"/>
    </row>
    <row r="19" spans="1:13" ht="12.75" x14ac:dyDescent="0.2">
      <c r="A19" s="3"/>
      <c r="B19" s="2"/>
      <c r="C19" s="2"/>
      <c r="D19" s="2"/>
    </row>
    <row r="20" spans="1:13" ht="17.100000000000001" customHeight="1" x14ac:dyDescent="0.2">
      <c r="A20" s="60"/>
      <c r="B20" s="11" t="s">
        <v>486</v>
      </c>
      <c r="C20" s="290" t="b">
        <v>1</v>
      </c>
      <c r="J20" s="143"/>
      <c r="K20" s="1" t="str" cm="1">
        <f t="array" ref="K20">_xlfn.IFS($C$20=TRUE, "Fall|", $C$20=FALSE, "")</f>
        <v>Fall|</v>
      </c>
    </row>
    <row r="21" spans="1:13" ht="17.100000000000001" customHeight="1" x14ac:dyDescent="0.2">
      <c r="A21" s="60"/>
      <c r="B21" s="11" t="s">
        <v>485</v>
      </c>
      <c r="C21" s="290" t="b">
        <v>0</v>
      </c>
      <c r="J21" s="143"/>
      <c r="K21" s="1" t="str" cm="1">
        <f t="array" ref="K21">_xlfn.IFS($C$21=TRUE, "Winter|", $C$21=FALSE, "")</f>
        <v/>
      </c>
    </row>
    <row r="22" spans="1:13" ht="17.100000000000001" customHeight="1" x14ac:dyDescent="0.2">
      <c r="A22" s="60"/>
      <c r="B22" s="11" t="s">
        <v>484</v>
      </c>
      <c r="C22" s="290" t="b">
        <v>1</v>
      </c>
      <c r="J22" s="143"/>
      <c r="K22" s="1" t="str" cm="1">
        <f t="array" ref="K22">_xlfn.IFS($C$22=TRUE, "Spring|", $C$22=FALSE, "")</f>
        <v>Spring|</v>
      </c>
    </row>
    <row r="23" spans="1:13" ht="17.100000000000001" customHeight="1" x14ac:dyDescent="0.2">
      <c r="A23" s="60"/>
      <c r="B23" s="11" t="s">
        <v>482</v>
      </c>
      <c r="C23" s="290" t="b">
        <v>0</v>
      </c>
      <c r="J23" s="143"/>
      <c r="K23" s="1" t="str" cm="1">
        <f t="array" ref="K23">_xlfn.IFS($C$23=TRUE, "Summer|", $C$23=FALSE, "")</f>
        <v/>
      </c>
    </row>
    <row r="24" spans="1:13" ht="21" customHeight="1" x14ac:dyDescent="0.2">
      <c r="A24" s="3"/>
      <c r="B24" s="719"/>
      <c r="C24" s="560"/>
      <c r="D24" s="560"/>
      <c r="E24" s="733" t="s">
        <v>1147</v>
      </c>
      <c r="F24" s="733"/>
      <c r="G24" s="48"/>
    </row>
    <row r="25" spans="1:13" ht="40.5" customHeight="1" x14ac:dyDescent="0.2">
      <c r="A25" s="3" t="s">
        <v>518</v>
      </c>
      <c r="B25" s="561" t="s">
        <v>517</v>
      </c>
      <c r="C25" s="561"/>
      <c r="D25" s="561"/>
      <c r="E25" s="739" t="s">
        <v>157</v>
      </c>
      <c r="F25" s="740"/>
      <c r="G25" s="48"/>
      <c r="K25" s="1" t="str" cm="1">
        <f t="array" ref="K25">_xlfn.IFS(E25="YES", "Yes", E25="yes", "Yes", E25="Yes", "Yes", E25="NO", "No", E25="no", "No", E25="No", "No")</f>
        <v>No</v>
      </c>
    </row>
    <row r="26" spans="1:13" ht="32.1" customHeight="1" x14ac:dyDescent="0.2">
      <c r="A26" s="3"/>
      <c r="B26" s="738" t="s">
        <v>516</v>
      </c>
      <c r="C26" s="738"/>
      <c r="D26" s="738"/>
      <c r="E26" s="228" t="s">
        <v>603</v>
      </c>
      <c r="F26" s="60"/>
      <c r="G26" s="48"/>
    </row>
    <row r="27" spans="1:13" ht="12.75" x14ac:dyDescent="0.2"/>
    <row r="28" spans="1:13" ht="12.75" x14ac:dyDescent="0.2">
      <c r="A28" s="3" t="s">
        <v>515</v>
      </c>
      <c r="B28" s="716" t="s">
        <v>514</v>
      </c>
      <c r="C28" s="716"/>
      <c r="D28" s="716"/>
      <c r="E28" s="716"/>
    </row>
    <row r="29" spans="1:13" ht="13.5" thickBot="1" x14ac:dyDescent="0.25">
      <c r="A29" s="3"/>
      <c r="B29" s="2"/>
      <c r="C29" s="2"/>
      <c r="D29" s="2"/>
      <c r="E29" s="2"/>
    </row>
    <row r="30" spans="1:13" ht="23.25" thickBot="1" x14ac:dyDescent="0.25">
      <c r="A30" s="3"/>
      <c r="B30" s="198"/>
      <c r="C30" s="199" t="s">
        <v>513</v>
      </c>
      <c r="D30" s="200" t="s">
        <v>512</v>
      </c>
      <c r="E30" s="200" t="s">
        <v>511</v>
      </c>
      <c r="F30" s="199" t="s">
        <v>510</v>
      </c>
      <c r="G30" s="199" t="s">
        <v>509</v>
      </c>
    </row>
    <row r="31" spans="1:13" ht="42" customHeight="1" thickBot="1" x14ac:dyDescent="0.25">
      <c r="A31" s="3"/>
      <c r="B31" s="201" t="s">
        <v>508</v>
      </c>
      <c r="C31" s="202"/>
      <c r="D31" s="202"/>
      <c r="E31" s="202"/>
      <c r="F31" s="202"/>
      <c r="G31" s="203"/>
      <c r="H31" s="291">
        <v>1</v>
      </c>
      <c r="I31" s="35"/>
      <c r="J31" s="35"/>
      <c r="K31" s="35" t="str" cm="1">
        <f t="array" ref="K31">_xlfn.IFS($H$31=1, "Required of All", $H$31=2, "Recommended of All", $H$31=3, "Recommended of Some", $H$31=4, "Required of Some", $H$31=5, "Not Required")</f>
        <v>Required of All</v>
      </c>
      <c r="L31" s="35"/>
      <c r="M31" s="35"/>
    </row>
    <row r="32" spans="1:13" ht="30" customHeight="1" thickBot="1" x14ac:dyDescent="0.25">
      <c r="A32" s="3"/>
      <c r="B32" s="201" t="s">
        <v>507</v>
      </c>
      <c r="C32" s="202"/>
      <c r="D32" s="202"/>
      <c r="E32" s="202"/>
      <c r="F32" s="202"/>
      <c r="G32" s="202"/>
      <c r="H32" s="291">
        <v>1</v>
      </c>
      <c r="I32" s="35"/>
      <c r="J32" s="35"/>
      <c r="K32" s="35" t="str" cm="1">
        <f t="array" ref="K32">_xlfn.IFS($H$32=1, "Required of All", $H$32=2, "Recommended of All", $H$32=3, "Recommended of Some", $H$32=4, "Required of Some", $H$32=5, "Not Required")</f>
        <v>Required of All</v>
      </c>
      <c r="L32" s="35"/>
      <c r="M32" s="142"/>
    </row>
    <row r="33" spans="1:13" ht="35.1" customHeight="1" thickBot="1" x14ac:dyDescent="0.25">
      <c r="A33" s="3"/>
      <c r="B33" s="201" t="s">
        <v>506</v>
      </c>
      <c r="C33" s="202"/>
      <c r="D33" s="202"/>
      <c r="E33" s="202"/>
      <c r="F33" s="202"/>
      <c r="G33" s="202"/>
      <c r="H33" s="291">
        <v>1</v>
      </c>
      <c r="I33" s="35"/>
      <c r="J33" s="35"/>
      <c r="K33" s="35" t="str" cm="1">
        <f t="array" ref="K33">_xlfn.IFS($H$33=1, "Required of All", $H$33=2, "Recommended of All", $H$33=3, "Recommended of Some", $H$33=4, "Required of Some", $H$33=5, "Not Required")</f>
        <v>Required of All</v>
      </c>
      <c r="L33" s="35"/>
      <c r="M33" s="35"/>
    </row>
    <row r="34" spans="1:13" ht="26.1" customHeight="1" thickBot="1" x14ac:dyDescent="0.25">
      <c r="A34" s="3"/>
      <c r="B34" s="201" t="s">
        <v>505</v>
      </c>
      <c r="C34" s="202"/>
      <c r="D34" s="202"/>
      <c r="E34" s="202"/>
      <c r="F34" s="202"/>
      <c r="G34" s="202"/>
      <c r="H34" s="291">
        <v>2</v>
      </c>
      <c r="I34" s="35"/>
      <c r="J34" s="141"/>
      <c r="K34" s="35" t="str" cm="1">
        <f t="array" ref="K34">_xlfn.IFS($H$34=1, "Required of All", $H$34=2, "Recommended of All", $H$34=3, "Recommended of Some", $H$34=4, "Required of Some", $H$34=5, "Not Required")</f>
        <v>Recommended of All</v>
      </c>
      <c r="L34" s="141"/>
      <c r="M34" s="141"/>
    </row>
    <row r="35" spans="1:13" ht="36" customHeight="1" thickBot="1" x14ac:dyDescent="0.25">
      <c r="A35" s="3"/>
      <c r="B35" s="201" t="s">
        <v>504</v>
      </c>
      <c r="C35" s="202"/>
      <c r="D35" s="202"/>
      <c r="E35" s="202"/>
      <c r="F35" s="202"/>
      <c r="G35" s="202"/>
      <c r="H35" s="291">
        <v>1</v>
      </c>
      <c r="I35" s="35"/>
      <c r="J35" s="141"/>
      <c r="K35" s="35" t="str" cm="1">
        <f t="array" ref="K35">_xlfn.IFS($H$35=1, "Required of All", $H$35=2, "Recommended of All", $H$35=3, "Recommended of Some", $H$35=4, "Required of Some", $H$35=5, "Not Required")</f>
        <v>Required of All</v>
      </c>
      <c r="L35" s="141"/>
      <c r="M35" s="141"/>
    </row>
    <row r="36" spans="1:13" ht="45.95" customHeight="1" thickBot="1" x14ac:dyDescent="0.25">
      <c r="A36" s="3"/>
      <c r="B36" s="201" t="s">
        <v>503</v>
      </c>
      <c r="C36" s="202"/>
      <c r="D36" s="202"/>
      <c r="E36" s="202"/>
      <c r="F36" s="202"/>
      <c r="G36" s="202"/>
      <c r="H36" s="291">
        <v>1</v>
      </c>
      <c r="I36" s="35"/>
      <c r="J36" s="141"/>
      <c r="K36" s="35" t="str" cm="1">
        <f t="array" ref="K36">_xlfn.IFS($H$36=1, "Required of All", $H$36=2, "Recommended of All", $H$36=3, "Recommended of Some", $H$36=4, "Required of Some", $H$36=5, "Not Required")</f>
        <v>Required of All</v>
      </c>
      <c r="L36" s="141"/>
      <c r="M36" s="141"/>
    </row>
    <row r="37" spans="1:13" ht="24.95" customHeight="1" x14ac:dyDescent="0.2"/>
    <row r="38" spans="1:13" ht="42" customHeight="1" x14ac:dyDescent="0.2">
      <c r="A38" s="3" t="s">
        <v>502</v>
      </c>
      <c r="B38" s="562" t="s">
        <v>501</v>
      </c>
      <c r="C38" s="562"/>
      <c r="D38" s="562"/>
      <c r="E38" s="534">
        <v>0</v>
      </c>
      <c r="G38" s="48"/>
    </row>
    <row r="39" spans="1:13" ht="12.75" x14ac:dyDescent="0.2">
      <c r="E39" s="178"/>
    </row>
    <row r="40" spans="1:13" ht="36" customHeight="1" x14ac:dyDescent="0.2">
      <c r="A40" s="3" t="s">
        <v>500</v>
      </c>
      <c r="B40" s="562" t="s">
        <v>499</v>
      </c>
      <c r="C40" s="562"/>
      <c r="D40" s="562"/>
      <c r="E40" s="534">
        <v>3</v>
      </c>
      <c r="G40" s="48"/>
    </row>
    <row r="41" spans="1:13" ht="12.75" x14ac:dyDescent="0.2"/>
    <row r="42" spans="1:13" ht="17.100000000000001" customHeight="1" x14ac:dyDescent="0.2">
      <c r="A42" s="3" t="s">
        <v>498</v>
      </c>
      <c r="B42" s="561" t="s">
        <v>497</v>
      </c>
      <c r="C42" s="561"/>
      <c r="D42" s="561"/>
      <c r="E42" s="561"/>
      <c r="F42" s="561"/>
      <c r="G42" s="57"/>
    </row>
    <row r="43" spans="1:13" ht="17.100000000000001" customHeight="1" x14ac:dyDescent="0.2">
      <c r="A43" s="3"/>
      <c r="B43" s="736" t="s">
        <v>603</v>
      </c>
      <c r="C43" s="736"/>
      <c r="D43" s="736"/>
      <c r="E43" s="736"/>
      <c r="F43" s="736"/>
      <c r="G43" s="736"/>
    </row>
    <row r="44" spans="1:13" ht="12.75" x14ac:dyDescent="0.2"/>
    <row r="45" spans="1:13" ht="48" customHeight="1" x14ac:dyDescent="0.2">
      <c r="A45" s="3" t="s">
        <v>483</v>
      </c>
      <c r="B45" s="572" t="s">
        <v>496</v>
      </c>
      <c r="C45" s="572"/>
      <c r="D45" s="572"/>
      <c r="E45" s="572"/>
      <c r="F45" s="572"/>
      <c r="G45" s="572"/>
      <c r="H45" s="293" t="s">
        <v>495</v>
      </c>
      <c r="I45" s="293" t="s">
        <v>494</v>
      </c>
      <c r="J45" s="293" t="s">
        <v>493</v>
      </c>
      <c r="K45" s="293" t="s">
        <v>492</v>
      </c>
      <c r="L45" s="192"/>
      <c r="M45" s="187"/>
    </row>
    <row r="46" spans="1:13" ht="22.5" x14ac:dyDescent="0.2">
      <c r="A46" s="3" t="s">
        <v>483</v>
      </c>
      <c r="B46" s="22"/>
      <c r="C46" s="140" t="s">
        <v>491</v>
      </c>
      <c r="D46" s="140" t="s">
        <v>490</v>
      </c>
      <c r="E46" s="140" t="s">
        <v>489</v>
      </c>
      <c r="F46" s="140" t="s">
        <v>488</v>
      </c>
      <c r="G46" s="140" t="s">
        <v>487</v>
      </c>
      <c r="H46" s="269" t="b">
        <v>0</v>
      </c>
      <c r="I46" s="269" t="b">
        <v>0</v>
      </c>
      <c r="J46" s="269" t="b">
        <v>0</v>
      </c>
      <c r="K46" s="269" t="b">
        <v>0</v>
      </c>
      <c r="L46" s="187"/>
      <c r="M46" s="187"/>
    </row>
    <row r="47" spans="1:13" ht="15" customHeight="1" x14ac:dyDescent="0.2">
      <c r="A47" s="3" t="s">
        <v>483</v>
      </c>
      <c r="B47" s="63" t="s">
        <v>486</v>
      </c>
      <c r="C47" s="552">
        <v>44287</v>
      </c>
      <c r="D47" s="552">
        <v>44287</v>
      </c>
      <c r="E47" s="552">
        <v>44317</v>
      </c>
      <c r="F47" s="552">
        <v>44347</v>
      </c>
      <c r="G47" s="139"/>
      <c r="H47" s="226"/>
      <c r="I47" s="226"/>
      <c r="J47" s="226"/>
      <c r="K47" s="226"/>
    </row>
    <row r="48" spans="1:13" ht="15" customHeight="1" x14ac:dyDescent="0.2">
      <c r="A48" s="3" t="s">
        <v>483</v>
      </c>
      <c r="B48" s="63" t="s">
        <v>485</v>
      </c>
      <c r="C48" s="292"/>
      <c r="D48" s="292"/>
      <c r="E48" s="292"/>
      <c r="F48" s="292"/>
      <c r="G48" s="139"/>
      <c r="H48" s="226"/>
      <c r="I48" s="226"/>
      <c r="J48" s="226"/>
      <c r="K48" s="226"/>
    </row>
    <row r="49" spans="1:11" ht="15" customHeight="1" x14ac:dyDescent="0.2">
      <c r="A49" s="3" t="s">
        <v>483</v>
      </c>
      <c r="B49" s="63" t="s">
        <v>484</v>
      </c>
      <c r="C49" s="292"/>
      <c r="D49" s="292"/>
      <c r="E49" s="292"/>
      <c r="F49" s="292"/>
      <c r="G49" s="139"/>
      <c r="H49" s="226"/>
      <c r="I49" s="226"/>
      <c r="J49" s="226"/>
      <c r="K49" s="226"/>
    </row>
    <row r="50" spans="1:11" ht="15" customHeight="1" x14ac:dyDescent="0.2">
      <c r="A50" s="3" t="s">
        <v>483</v>
      </c>
      <c r="B50" s="63" t="s">
        <v>482</v>
      </c>
      <c r="C50" s="292"/>
      <c r="D50" s="292"/>
      <c r="E50" s="292"/>
      <c r="F50" s="292"/>
      <c r="G50" s="139"/>
      <c r="H50" s="226"/>
      <c r="I50" s="226"/>
      <c r="J50" s="226"/>
      <c r="K50" s="226"/>
    </row>
    <row r="51" spans="1:11" ht="12.75" x14ac:dyDescent="0.2">
      <c r="A51" s="3"/>
      <c r="C51" s="54"/>
      <c r="D51" s="54"/>
      <c r="E51" s="54"/>
      <c r="F51" s="54"/>
      <c r="G51" s="12"/>
    </row>
    <row r="52" spans="1:11" ht="12.75" x14ac:dyDescent="0.2">
      <c r="A52" s="3"/>
      <c r="C52" s="54"/>
      <c r="D52" s="54"/>
      <c r="E52" s="54"/>
      <c r="F52" s="54"/>
      <c r="G52" s="12"/>
    </row>
    <row r="53" spans="1:11" ht="12.75" x14ac:dyDescent="0.2"/>
    <row r="54" spans="1:11" ht="24" customHeight="1" x14ac:dyDescent="0.2">
      <c r="A54" s="3"/>
      <c r="B54" s="719"/>
      <c r="C54" s="560"/>
      <c r="D54" s="560"/>
      <c r="E54" s="175" t="s">
        <v>1147</v>
      </c>
      <c r="F54" s="60"/>
      <c r="G54" s="48"/>
    </row>
    <row r="55" spans="1:11" ht="33.950000000000003" customHeight="1" x14ac:dyDescent="0.2">
      <c r="A55" s="3" t="s">
        <v>481</v>
      </c>
      <c r="B55" s="561" t="s">
        <v>480</v>
      </c>
      <c r="C55" s="561"/>
      <c r="D55" s="731"/>
      <c r="E55" s="174" t="s">
        <v>603</v>
      </c>
      <c r="F55" s="60"/>
      <c r="K55" s="1" t="e" cm="1">
        <f t="array" ref="K55">_xlfn.IFS($E$55="yes","Yes",$E$55="YES","Yes",$E$55="Yes","Yes",$E$55="NO","No",$E$55="no","No",$E$55="No","No")</f>
        <v>#N/A</v>
      </c>
    </row>
    <row r="56" spans="1:11" ht="12.75" x14ac:dyDescent="0.2">
      <c r="B56" s="5"/>
      <c r="C56" s="5"/>
      <c r="D56" s="5"/>
      <c r="E56" s="60"/>
      <c r="F56" s="60"/>
    </row>
    <row r="57" spans="1:11" ht="21.95" customHeight="1" x14ac:dyDescent="0.2">
      <c r="A57" s="98" t="s">
        <v>479</v>
      </c>
      <c r="B57" s="604" t="s">
        <v>478</v>
      </c>
      <c r="C57" s="604"/>
      <c r="D57" s="604"/>
      <c r="E57" s="604"/>
      <c r="F57" s="604"/>
      <c r="G57" s="604"/>
    </row>
    <row r="58" spans="1:11" ht="20.100000000000001" customHeight="1" x14ac:dyDescent="0.2">
      <c r="A58" s="3"/>
      <c r="B58" s="568"/>
      <c r="C58" s="568"/>
      <c r="D58" s="568"/>
      <c r="E58" s="568"/>
      <c r="F58" s="568"/>
      <c r="G58" s="568"/>
    </row>
    <row r="59" spans="1:11" ht="23.1" customHeight="1" x14ac:dyDescent="0.2"/>
    <row r="60" spans="1:11" ht="24.95" customHeight="1" x14ac:dyDescent="0.2">
      <c r="B60" s="732" t="s">
        <v>477</v>
      </c>
      <c r="C60" s="716"/>
    </row>
    <row r="61" spans="1:11" ht="27.75" customHeight="1" x14ac:dyDescent="0.2">
      <c r="A61" s="3" t="s">
        <v>476</v>
      </c>
      <c r="B61" s="561" t="s">
        <v>475</v>
      </c>
      <c r="C61" s="561"/>
      <c r="D61" s="294" t="s">
        <v>603</v>
      </c>
      <c r="G61" s="48"/>
    </row>
    <row r="62" spans="1:11" ht="12.75" x14ac:dyDescent="0.2"/>
    <row r="63" spans="1:11" ht="12.75" x14ac:dyDescent="0.2">
      <c r="A63" s="3"/>
      <c r="B63" s="719"/>
      <c r="C63" s="560"/>
      <c r="D63" s="560"/>
      <c r="E63" s="127" t="s">
        <v>456</v>
      </c>
      <c r="F63" s="127" t="s">
        <v>455</v>
      </c>
    </row>
    <row r="64" spans="1:11" ht="26.25" customHeight="1" x14ac:dyDescent="0.2">
      <c r="A64" s="3" t="s">
        <v>474</v>
      </c>
      <c r="B64" s="561" t="s">
        <v>473</v>
      </c>
      <c r="C64" s="561"/>
      <c r="D64" s="731"/>
      <c r="E64" s="174">
        <v>64</v>
      </c>
      <c r="F64" s="174" t="s">
        <v>551</v>
      </c>
    </row>
    <row r="65" spans="1:7" ht="12.75" x14ac:dyDescent="0.2"/>
    <row r="66" spans="1:7" ht="12.75" x14ac:dyDescent="0.2">
      <c r="A66" s="3"/>
      <c r="B66" s="719"/>
      <c r="C66" s="560"/>
      <c r="D66" s="560"/>
      <c r="E66" s="127" t="s">
        <v>456</v>
      </c>
      <c r="F66" s="127" t="s">
        <v>455</v>
      </c>
    </row>
    <row r="67" spans="1:7" ht="27" customHeight="1" x14ac:dyDescent="0.2">
      <c r="A67" s="3" t="s">
        <v>472</v>
      </c>
      <c r="B67" s="561" t="s">
        <v>471</v>
      </c>
      <c r="C67" s="561"/>
      <c r="D67" s="731"/>
      <c r="E67" s="174">
        <v>64</v>
      </c>
      <c r="F67" s="174" t="s">
        <v>551</v>
      </c>
    </row>
    <row r="68" spans="1:7" ht="12.75" x14ac:dyDescent="0.2"/>
    <row r="69" spans="1:7" ht="12.75" x14ac:dyDescent="0.2">
      <c r="E69" s="127" t="s">
        <v>456</v>
      </c>
      <c r="F69" s="127" t="s">
        <v>455</v>
      </c>
    </row>
    <row r="70" spans="1:7" ht="27.75" customHeight="1" x14ac:dyDescent="0.2">
      <c r="A70" s="3" t="s">
        <v>470</v>
      </c>
      <c r="B70" s="731" t="s">
        <v>469</v>
      </c>
      <c r="C70" s="734"/>
      <c r="D70" s="735"/>
      <c r="E70" s="295" t="s">
        <v>603</v>
      </c>
      <c r="F70" s="224" t="s">
        <v>603</v>
      </c>
      <c r="G70" s="48"/>
    </row>
    <row r="71" spans="1:7" ht="12.75" x14ac:dyDescent="0.2">
      <c r="A71" s="3"/>
      <c r="B71" s="85"/>
      <c r="C71" s="85"/>
      <c r="D71" s="85"/>
      <c r="E71" s="85"/>
      <c r="F71" s="85"/>
      <c r="G71" s="48"/>
    </row>
    <row r="72" spans="1:7" ht="12.75" x14ac:dyDescent="0.2">
      <c r="A72" s="3"/>
      <c r="B72" s="85"/>
      <c r="C72" s="85"/>
      <c r="D72" s="85"/>
      <c r="E72" s="127" t="s">
        <v>456</v>
      </c>
      <c r="F72" s="127" t="s">
        <v>455</v>
      </c>
      <c r="G72" s="48"/>
    </row>
    <row r="73" spans="1:7" ht="26.25" customHeight="1" x14ac:dyDescent="0.2">
      <c r="A73" s="3" t="s">
        <v>468</v>
      </c>
      <c r="B73" s="731" t="s">
        <v>467</v>
      </c>
      <c r="C73" s="734"/>
      <c r="D73" s="735"/>
      <c r="E73" s="295">
        <v>64</v>
      </c>
      <c r="F73" s="224" t="s">
        <v>551</v>
      </c>
      <c r="G73" s="48"/>
    </row>
    <row r="74" spans="1:7" ht="12.75" x14ac:dyDescent="0.2">
      <c r="A74" s="3"/>
      <c r="B74" s="85"/>
      <c r="C74" s="85"/>
      <c r="D74" s="85"/>
      <c r="E74" s="85"/>
      <c r="F74" s="85"/>
      <c r="G74" s="48"/>
    </row>
    <row r="75" spans="1:7" ht="12.75" customHeight="1" x14ac:dyDescent="0.2">
      <c r="A75" s="3" t="s">
        <v>466</v>
      </c>
      <c r="B75" s="561" t="s">
        <v>465</v>
      </c>
      <c r="C75" s="561"/>
      <c r="D75" s="561"/>
      <c r="E75" s="561"/>
      <c r="F75" s="561"/>
      <c r="G75" s="561"/>
    </row>
    <row r="76" spans="1:7" ht="29.1" customHeight="1" x14ac:dyDescent="0.2">
      <c r="A76" s="3"/>
      <c r="B76" s="568"/>
      <c r="C76" s="568"/>
      <c r="D76" s="568"/>
      <c r="E76" s="568"/>
      <c r="F76" s="568"/>
      <c r="G76" s="568"/>
    </row>
    <row r="77" spans="1:7" ht="12.75" x14ac:dyDescent="0.2">
      <c r="A77" s="3"/>
      <c r="B77" s="5"/>
      <c r="C77" s="5"/>
      <c r="D77" s="5"/>
      <c r="E77" s="5"/>
      <c r="F77" s="5"/>
      <c r="G77" s="5"/>
    </row>
    <row r="78" spans="1:7" ht="24" customHeight="1" x14ac:dyDescent="0.25">
      <c r="A78" s="3"/>
      <c r="B78" s="95" t="s">
        <v>464</v>
      </c>
      <c r="C78" s="5"/>
      <c r="D78" s="5"/>
      <c r="E78" s="5"/>
      <c r="F78" s="5"/>
      <c r="G78" s="5"/>
    </row>
    <row r="79" spans="1:7" ht="21.95" customHeight="1" x14ac:dyDescent="0.2">
      <c r="A79" s="38" t="s">
        <v>463</v>
      </c>
      <c r="B79" s="178" t="s">
        <v>462</v>
      </c>
      <c r="F79" s="5"/>
      <c r="G79" s="5"/>
    </row>
    <row r="80" spans="1:7" ht="12.75" x14ac:dyDescent="0.2">
      <c r="A80" s="3"/>
      <c r="F80" s="5"/>
      <c r="G80" s="5"/>
    </row>
    <row r="81" spans="1:11" ht="18.95" customHeight="1" x14ac:dyDescent="0.2">
      <c r="A81" s="3"/>
      <c r="B81" s="719"/>
      <c r="C81" s="560"/>
      <c r="D81" s="560"/>
      <c r="E81" s="733" t="s">
        <v>1147</v>
      </c>
      <c r="F81" s="733"/>
      <c r="G81" s="5"/>
    </row>
    <row r="82" spans="1:11" ht="17.100000000000001" customHeight="1" x14ac:dyDescent="0.2">
      <c r="A82" s="3"/>
      <c r="B82" s="720" t="s">
        <v>461</v>
      </c>
      <c r="C82" s="720"/>
      <c r="D82" s="721"/>
      <c r="E82" s="739" t="s">
        <v>603</v>
      </c>
      <c r="F82" s="740"/>
      <c r="G82" s="5" t="s">
        <v>603</v>
      </c>
      <c r="H82" s="1" t="s">
        <v>603</v>
      </c>
      <c r="K82" s="1" t="e" cm="1">
        <f t="array" ref="K82">_xlfn.IFS(E82="YES", "Yes", E82="yes", "Yes", E82="Yes", "Yes", E82="NO", "No", E82="no", "No", E82="No", "No")</f>
        <v>#N/A</v>
      </c>
    </row>
    <row r="83" spans="1:11" ht="17.100000000000001" customHeight="1" x14ac:dyDescent="0.2">
      <c r="A83" s="3"/>
      <c r="B83" s="720" t="s">
        <v>460</v>
      </c>
      <c r="C83" s="720"/>
      <c r="D83" s="721"/>
      <c r="E83" s="739" t="s">
        <v>603</v>
      </c>
      <c r="F83" s="740"/>
      <c r="G83" s="5" t="s">
        <v>603</v>
      </c>
      <c r="H83" s="1" t="s">
        <v>603</v>
      </c>
      <c r="K83" s="1" t="e" cm="1">
        <f t="array" ref="K83">_xlfn.IFS(E83="YES", "Yes", E83="yes", "Yes", E83="Yes", "Yes", E83="NO", "No", E83="no", "No", E83="No", "No")</f>
        <v>#N/A</v>
      </c>
    </row>
    <row r="84" spans="1:11" ht="17.100000000000001" customHeight="1" x14ac:dyDescent="0.2">
      <c r="A84" s="3"/>
      <c r="B84" s="720" t="s">
        <v>459</v>
      </c>
      <c r="C84" s="720"/>
      <c r="D84" s="721"/>
      <c r="E84" s="739" t="s">
        <v>603</v>
      </c>
      <c r="F84" s="740"/>
      <c r="G84" s="5" t="s">
        <v>603</v>
      </c>
      <c r="H84" s="1" t="s">
        <v>603</v>
      </c>
      <c r="K84" s="1" t="e" cm="1">
        <f t="array" ref="K84">_xlfn.IFS(E84="YES", "Yes", E84="yes", "Yes", E84="Yes", "Yes", E84="NO", "No", E84="no", "No", E84="No", "No")</f>
        <v>#N/A</v>
      </c>
    </row>
    <row r="85" spans="1:11" ht="12.75" x14ac:dyDescent="0.2">
      <c r="A85" s="3"/>
      <c r="F85" s="5"/>
      <c r="G85" s="5"/>
    </row>
    <row r="86" spans="1:11" ht="18.95" customHeight="1" x14ac:dyDescent="0.2">
      <c r="B86" s="719"/>
      <c r="C86" s="560"/>
      <c r="D86" s="560"/>
      <c r="E86" s="127" t="s">
        <v>456</v>
      </c>
      <c r="F86" s="193" t="s">
        <v>455</v>
      </c>
      <c r="G86" s="5"/>
    </row>
    <row r="87" spans="1:11" ht="12.75" customHeight="1" x14ac:dyDescent="0.2">
      <c r="A87" s="3" t="s">
        <v>458</v>
      </c>
      <c r="B87" s="722" t="s">
        <v>457</v>
      </c>
      <c r="C87" s="723"/>
      <c r="D87" s="723"/>
      <c r="E87" s="748" t="s">
        <v>603</v>
      </c>
      <c r="F87" s="744" t="s">
        <v>603</v>
      </c>
      <c r="G87" s="5"/>
    </row>
    <row r="88" spans="1:11" ht="12.75" customHeight="1" x14ac:dyDescent="0.2">
      <c r="A88" s="3"/>
      <c r="B88" s="724"/>
      <c r="C88" s="723"/>
      <c r="D88" s="723"/>
      <c r="E88" s="749"/>
      <c r="F88" s="745"/>
      <c r="G88" s="5"/>
    </row>
    <row r="89" spans="1:11" ht="18" customHeight="1" x14ac:dyDescent="0.2">
      <c r="A89" s="3"/>
      <c r="B89" s="724"/>
      <c r="C89" s="723"/>
      <c r="D89" s="723"/>
      <c r="E89" s="750"/>
      <c r="F89" s="746"/>
      <c r="G89" s="5"/>
    </row>
    <row r="90" spans="1:11" ht="12.75" customHeight="1" x14ac:dyDescent="0.2">
      <c r="A90" s="3"/>
      <c r="B90" s="35"/>
      <c r="C90" s="35"/>
      <c r="D90" s="35"/>
      <c r="F90" s="5"/>
      <c r="G90" s="5"/>
    </row>
    <row r="91" spans="1:11" ht="18" customHeight="1" x14ac:dyDescent="0.2">
      <c r="B91" s="719"/>
      <c r="C91" s="560"/>
      <c r="D91" s="560"/>
      <c r="E91" s="127" t="s">
        <v>456</v>
      </c>
      <c r="F91" s="193" t="s">
        <v>455</v>
      </c>
      <c r="G91" s="5"/>
    </row>
    <row r="92" spans="1:11" ht="12.75" customHeight="1" x14ac:dyDescent="0.2">
      <c r="A92" s="3" t="s">
        <v>454</v>
      </c>
      <c r="B92" s="725" t="s">
        <v>453</v>
      </c>
      <c r="C92" s="726"/>
      <c r="D92" s="726"/>
      <c r="E92" s="743" t="s">
        <v>603</v>
      </c>
      <c r="F92" s="747" t="s">
        <v>603</v>
      </c>
      <c r="G92" s="5"/>
    </row>
    <row r="93" spans="1:11" ht="12.75" customHeight="1" x14ac:dyDescent="0.2">
      <c r="A93" s="3"/>
      <c r="B93" s="727"/>
      <c r="C93" s="728"/>
      <c r="D93" s="728"/>
      <c r="E93" s="743"/>
      <c r="F93" s="747"/>
      <c r="G93" s="5"/>
    </row>
    <row r="94" spans="1:11" ht="12.75" customHeight="1" x14ac:dyDescent="0.2">
      <c r="A94" s="3"/>
      <c r="B94" s="727"/>
      <c r="C94" s="728"/>
      <c r="D94" s="728"/>
      <c r="E94" s="743"/>
      <c r="F94" s="747"/>
      <c r="G94" s="5"/>
    </row>
    <row r="95" spans="1:11" ht="12.75" customHeight="1" x14ac:dyDescent="0.2">
      <c r="A95" s="3"/>
      <c r="B95" s="729"/>
      <c r="C95" s="730"/>
      <c r="D95" s="730"/>
      <c r="E95" s="743"/>
      <c r="F95" s="747"/>
      <c r="G95" s="5"/>
    </row>
    <row r="96" spans="1:11" ht="12.75" customHeight="1" x14ac:dyDescent="0.2">
      <c r="A96" s="3"/>
      <c r="B96" s="77"/>
      <c r="C96" s="77"/>
      <c r="D96" s="77"/>
      <c r="F96" s="5"/>
      <c r="G96" s="5"/>
    </row>
    <row r="97" spans="1:11" ht="20.100000000000001" customHeight="1" x14ac:dyDescent="0.2">
      <c r="A97" s="3"/>
      <c r="B97" s="719"/>
      <c r="C97" s="560"/>
      <c r="D97" s="560"/>
      <c r="E97" s="733" t="s">
        <v>1147</v>
      </c>
      <c r="F97" s="733"/>
      <c r="G97" s="5"/>
    </row>
    <row r="98" spans="1:11" ht="32.1" customHeight="1" x14ac:dyDescent="0.2">
      <c r="A98" s="38" t="s">
        <v>452</v>
      </c>
      <c r="B98" s="718" t="s">
        <v>451</v>
      </c>
      <c r="C98" s="718"/>
      <c r="D98" s="718"/>
      <c r="E98" s="739" t="s">
        <v>603</v>
      </c>
      <c r="F98" s="740"/>
      <c r="G98" s="5" t="s">
        <v>603</v>
      </c>
      <c r="H98" s="1" t="s">
        <v>603</v>
      </c>
      <c r="K98" s="1" t="e" cm="1">
        <f t="array" ref="K98">_xlfn.IFS(E98="YES", "Yes", E98="yes", "Yes", E98="Yes", "Yes", E98="NO", "No", E98="no", "No", E98="No", "No")</f>
        <v>#N/A</v>
      </c>
    </row>
    <row r="99" spans="1:11" ht="18.95" customHeight="1" x14ac:dyDescent="0.2">
      <c r="A99" s="3"/>
      <c r="B99" s="57"/>
      <c r="C99" s="57"/>
      <c r="D99" s="57"/>
      <c r="E99" s="60"/>
      <c r="F99" s="60"/>
      <c r="G99" s="5"/>
    </row>
    <row r="100" spans="1:11" ht="12.75" customHeight="1" x14ac:dyDescent="0.2">
      <c r="A100" s="3"/>
      <c r="B100" s="35"/>
      <c r="C100" s="35"/>
      <c r="D100" s="35"/>
      <c r="F100" s="5"/>
      <c r="G100" s="5"/>
    </row>
    <row r="101" spans="1:11" ht="17.100000000000001" customHeight="1" x14ac:dyDescent="0.2">
      <c r="A101" s="3"/>
      <c r="B101" s="716" t="s">
        <v>450</v>
      </c>
      <c r="C101" s="716"/>
      <c r="D101" s="716"/>
      <c r="E101" s="716"/>
      <c r="F101" s="716"/>
      <c r="G101" s="5"/>
    </row>
    <row r="102" spans="1:11" ht="17.100000000000001" customHeight="1" x14ac:dyDescent="0.2">
      <c r="A102" s="3"/>
      <c r="B102" s="717" t="s">
        <v>603</v>
      </c>
      <c r="C102" s="554"/>
      <c r="D102" s="554"/>
      <c r="E102" s="554"/>
      <c r="F102" s="554"/>
      <c r="G102" s="5"/>
    </row>
    <row r="103" spans="1:11" ht="12.75" customHeight="1" x14ac:dyDescent="0.2">
      <c r="A103" s="3"/>
      <c r="B103" s="56"/>
      <c r="C103" s="56"/>
      <c r="D103" s="56"/>
      <c r="E103" s="56"/>
      <c r="F103" s="56"/>
      <c r="G103" s="5"/>
    </row>
    <row r="104" spans="1:11" ht="17.100000000000001" customHeight="1" x14ac:dyDescent="0.2">
      <c r="A104" s="3" t="s">
        <v>449</v>
      </c>
      <c r="B104" s="716" t="s">
        <v>448</v>
      </c>
      <c r="C104" s="716"/>
      <c r="D104" s="716"/>
      <c r="E104" s="716"/>
      <c r="F104" s="716"/>
      <c r="G104" s="5"/>
    </row>
    <row r="105" spans="1:11" ht="17.100000000000001" customHeight="1" x14ac:dyDescent="0.2">
      <c r="A105" s="3"/>
      <c r="B105" s="566" t="s">
        <v>603</v>
      </c>
      <c r="C105" s="566"/>
      <c r="D105" s="566"/>
      <c r="E105" s="566"/>
      <c r="F105" s="566"/>
      <c r="G105" s="5"/>
    </row>
    <row r="106" spans="1:11" ht="17.100000000000001" customHeight="1" x14ac:dyDescent="0.2">
      <c r="A106" s="3"/>
      <c r="B106" s="65"/>
      <c r="C106" s="65"/>
      <c r="D106" s="65"/>
      <c r="E106" s="65"/>
      <c r="F106" s="65"/>
      <c r="G106" s="5"/>
    </row>
    <row r="107" spans="1:11" ht="17.100000000000001" customHeight="1" x14ac:dyDescent="0.2">
      <c r="A107" s="3"/>
      <c r="B107" s="296"/>
      <c r="C107" s="296"/>
      <c r="D107" s="296"/>
      <c r="E107" s="296"/>
      <c r="F107" s="296"/>
      <c r="G107" s="5"/>
    </row>
    <row r="108" spans="1:11" ht="17.100000000000001" customHeight="1" x14ac:dyDescent="0.2">
      <c r="A108" s="3"/>
      <c r="B108" s="296"/>
      <c r="C108" s="296"/>
      <c r="D108" s="296"/>
      <c r="E108" s="296"/>
      <c r="F108" s="296"/>
      <c r="G108" s="5"/>
    </row>
    <row r="109" spans="1:11" ht="17.100000000000001" customHeight="1" x14ac:dyDescent="0.2">
      <c r="A109" s="3"/>
      <c r="B109" s="296"/>
      <c r="C109" s="296"/>
      <c r="D109" s="296"/>
      <c r="E109" s="296"/>
      <c r="F109" s="296"/>
      <c r="G109" s="5"/>
    </row>
    <row r="110" spans="1:11" ht="17.100000000000001" customHeight="1" x14ac:dyDescent="0.2">
      <c r="A110" s="3"/>
      <c r="B110" s="296"/>
      <c r="C110" s="296"/>
      <c r="D110" s="296"/>
      <c r="E110" s="296"/>
      <c r="F110" s="296"/>
      <c r="G110" s="5"/>
    </row>
    <row r="111" spans="1:11" ht="17.100000000000001" customHeight="1" x14ac:dyDescent="0.2">
      <c r="A111" s="3"/>
      <c r="B111" s="296"/>
      <c r="C111" s="296"/>
      <c r="D111" s="296"/>
      <c r="E111" s="296"/>
      <c r="F111" s="296"/>
      <c r="G111" s="5"/>
    </row>
    <row r="112" spans="1:11" ht="12.75" customHeight="1" x14ac:dyDescent="0.2"/>
    <row r="122" ht="12.75" x14ac:dyDescent="0.2"/>
    <row r="123" ht="12.75" x14ac:dyDescent="0.2"/>
    <row r="126" ht="12.75" x14ac:dyDescent="0.2"/>
    <row r="127" ht="12.75" x14ac:dyDescent="0.2"/>
  </sheetData>
  <sheetProtection algorithmName="SHA-512" hashValue="XCBj66iJux/F7pEp4zrionX9j5+zT5Kifz+ih07S554AlhjvAvtd9kVl4Z3nsv+4b/iQiNTxpLpJXOR33pODoA==" saltValue="GEnKAlHBThYMCQeplp2CJw==" spinCount="100000" sheet="1" objects="1" scenarios="1"/>
  <mergeCells count="59">
    <mergeCell ref="E97:F97"/>
    <mergeCell ref="E82:F82"/>
    <mergeCell ref="E83:F83"/>
    <mergeCell ref="E84:F84"/>
    <mergeCell ref="E98:F98"/>
    <mergeCell ref="F87:F89"/>
    <mergeCell ref="E92:E95"/>
    <mergeCell ref="F92:F95"/>
    <mergeCell ref="E87:E89"/>
    <mergeCell ref="A1:G1"/>
    <mergeCell ref="B4:D4"/>
    <mergeCell ref="B5:D5"/>
    <mergeCell ref="B6:D6"/>
    <mergeCell ref="B8:G8"/>
    <mergeCell ref="E4:F4"/>
    <mergeCell ref="E5:F5"/>
    <mergeCell ref="E6:F6"/>
    <mergeCell ref="B40:D40"/>
    <mergeCell ref="B42:F42"/>
    <mergeCell ref="B43:G43"/>
    <mergeCell ref="B45:G45"/>
    <mergeCell ref="B18:D18"/>
    <mergeCell ref="B24:D24"/>
    <mergeCell ref="B25:D25"/>
    <mergeCell ref="B26:D26"/>
    <mergeCell ref="B28:E28"/>
    <mergeCell ref="B38:D38"/>
    <mergeCell ref="E25:F25"/>
    <mergeCell ref="E24:F24"/>
    <mergeCell ref="B57:G57"/>
    <mergeCell ref="B70:D70"/>
    <mergeCell ref="B73:D73"/>
    <mergeCell ref="B75:G75"/>
    <mergeCell ref="B76:G76"/>
    <mergeCell ref="B81:D81"/>
    <mergeCell ref="B58:G58"/>
    <mergeCell ref="B60:C60"/>
    <mergeCell ref="B61:C61"/>
    <mergeCell ref="B63:D63"/>
    <mergeCell ref="B64:D64"/>
    <mergeCell ref="B66:D66"/>
    <mergeCell ref="B67:D67"/>
    <mergeCell ref="E81:F81"/>
    <mergeCell ref="B9:G9"/>
    <mergeCell ref="B105:F105"/>
    <mergeCell ref="B101:F101"/>
    <mergeCell ref="B102:F102"/>
    <mergeCell ref="B104:F104"/>
    <mergeCell ref="B98:D98"/>
    <mergeCell ref="B97:D97"/>
    <mergeCell ref="B82:D82"/>
    <mergeCell ref="B83:D83"/>
    <mergeCell ref="B84:D84"/>
    <mergeCell ref="B86:D86"/>
    <mergeCell ref="B87:D89"/>
    <mergeCell ref="B91:D91"/>
    <mergeCell ref="B92:D95"/>
    <mergeCell ref="B54:D54"/>
    <mergeCell ref="B55:D55"/>
  </mergeCells>
  <dataValidations count="1">
    <dataValidation type="textLength" operator="lessThanOrEqual" allowBlank="1" showInputMessage="1" showErrorMessage="1" sqref="E25:F25 E55 E82:F84 E98:F98" xr:uid="{00000000-0002-0000-0400-000000000000}">
      <formula1>3</formula1>
    </dataValidation>
  </dataValidations>
  <hyperlinks>
    <hyperlink ref="B102" r:id="rId1" display="www.sample.edu/military" xr:uid="{00000000-0004-0000-0400-000000000000}"/>
  </hyperlinks>
  <pageMargins left="0.75" right="0.75" top="1" bottom="1" header="0.5" footer="0.5"/>
  <pageSetup scale="75" orientation="portrait" r:id="rId2"/>
  <headerFooter alignWithMargins="0">
    <oddHeader>&amp;LCommon Data Set 2021-2022</oddHeader>
    <oddFooter>&amp;LCDS-D&amp;RPage &amp;P</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11272" r:id="rId5" name="Check Box 8">
              <controlPr defaultSize="0" autoFill="0" autoLine="0" autoPict="0" altText=" ">
                <anchor moveWithCells="1">
                  <from>
                    <xdr:col>0</xdr:col>
                    <xdr:colOff>38100</xdr:colOff>
                    <xdr:row>19</xdr:row>
                    <xdr:rowOff>9525</xdr:rowOff>
                  </from>
                  <to>
                    <xdr:col>1</xdr:col>
                    <xdr:colOff>9525</xdr:colOff>
                    <xdr:row>19</xdr:row>
                    <xdr:rowOff>200025</xdr:rowOff>
                  </to>
                </anchor>
              </controlPr>
            </control>
          </mc:Choice>
        </mc:AlternateContent>
        <mc:AlternateContent xmlns:mc="http://schemas.openxmlformats.org/markup-compatibility/2006">
          <mc:Choice Requires="x14">
            <control shapeId="11273" r:id="rId6" name="Check Box 9">
              <controlPr defaultSize="0" autoFill="0" autoLine="0" autoPict="0" altText=" ">
                <anchor moveWithCells="1">
                  <from>
                    <xdr:col>0</xdr:col>
                    <xdr:colOff>38100</xdr:colOff>
                    <xdr:row>20</xdr:row>
                    <xdr:rowOff>9525</xdr:rowOff>
                  </from>
                  <to>
                    <xdr:col>1</xdr:col>
                    <xdr:colOff>9525</xdr:colOff>
                    <xdr:row>20</xdr:row>
                    <xdr:rowOff>200025</xdr:rowOff>
                  </to>
                </anchor>
              </controlPr>
            </control>
          </mc:Choice>
        </mc:AlternateContent>
        <mc:AlternateContent xmlns:mc="http://schemas.openxmlformats.org/markup-compatibility/2006">
          <mc:Choice Requires="x14">
            <control shapeId="11274" r:id="rId7" name="Check Box 10">
              <controlPr defaultSize="0" autoFill="0" autoLine="0" autoPict="0" altText=" ">
                <anchor moveWithCells="1">
                  <from>
                    <xdr:col>0</xdr:col>
                    <xdr:colOff>47625</xdr:colOff>
                    <xdr:row>21</xdr:row>
                    <xdr:rowOff>9525</xdr:rowOff>
                  </from>
                  <to>
                    <xdr:col>1</xdr:col>
                    <xdr:colOff>0</xdr:colOff>
                    <xdr:row>21</xdr:row>
                    <xdr:rowOff>200025</xdr:rowOff>
                  </to>
                </anchor>
              </controlPr>
            </control>
          </mc:Choice>
        </mc:AlternateContent>
        <mc:AlternateContent xmlns:mc="http://schemas.openxmlformats.org/markup-compatibility/2006">
          <mc:Choice Requires="x14">
            <control shapeId="11275" r:id="rId8" name="Check Box 11">
              <controlPr defaultSize="0" autoFill="0" autoLine="0" autoPict="0" altText=" ">
                <anchor moveWithCells="1">
                  <from>
                    <xdr:col>0</xdr:col>
                    <xdr:colOff>47625</xdr:colOff>
                    <xdr:row>22</xdr:row>
                    <xdr:rowOff>9525</xdr:rowOff>
                  </from>
                  <to>
                    <xdr:col>1</xdr:col>
                    <xdr:colOff>0</xdr:colOff>
                    <xdr:row>22</xdr:row>
                    <xdr:rowOff>200025</xdr:rowOff>
                  </to>
                </anchor>
              </controlPr>
            </control>
          </mc:Choice>
        </mc:AlternateContent>
        <mc:AlternateContent xmlns:mc="http://schemas.openxmlformats.org/markup-compatibility/2006">
          <mc:Choice Requires="x14">
            <control shapeId="11279" r:id="rId9" name="Check Box 15">
              <controlPr defaultSize="0" autoFill="0" autoLine="0" autoPict="0">
                <anchor moveWithCells="1">
                  <from>
                    <xdr:col>6</xdr:col>
                    <xdr:colOff>371475</xdr:colOff>
                    <xdr:row>45</xdr:row>
                    <xdr:rowOff>257175</xdr:rowOff>
                  </from>
                  <to>
                    <xdr:col>6</xdr:col>
                    <xdr:colOff>657225</xdr:colOff>
                    <xdr:row>47</xdr:row>
                    <xdr:rowOff>28575</xdr:rowOff>
                  </to>
                </anchor>
              </controlPr>
            </control>
          </mc:Choice>
        </mc:AlternateContent>
        <mc:AlternateContent xmlns:mc="http://schemas.openxmlformats.org/markup-compatibility/2006">
          <mc:Choice Requires="x14">
            <control shapeId="11280" r:id="rId10" name="Check Box 16">
              <controlPr defaultSize="0" autoFill="0" autoLine="0" autoPict="0">
                <anchor moveWithCells="1">
                  <from>
                    <xdr:col>6</xdr:col>
                    <xdr:colOff>371475</xdr:colOff>
                    <xdr:row>46</xdr:row>
                    <xdr:rowOff>180975</xdr:rowOff>
                  </from>
                  <to>
                    <xdr:col>6</xdr:col>
                    <xdr:colOff>647700</xdr:colOff>
                    <xdr:row>47</xdr:row>
                    <xdr:rowOff>180975</xdr:rowOff>
                  </to>
                </anchor>
              </controlPr>
            </control>
          </mc:Choice>
        </mc:AlternateContent>
        <mc:AlternateContent xmlns:mc="http://schemas.openxmlformats.org/markup-compatibility/2006">
          <mc:Choice Requires="x14">
            <control shapeId="11281" r:id="rId11" name="Check Box 17">
              <controlPr defaultSize="0" autoFill="0" autoLine="0" autoPict="0">
                <anchor moveWithCells="1">
                  <from>
                    <xdr:col>6</xdr:col>
                    <xdr:colOff>371475</xdr:colOff>
                    <xdr:row>47</xdr:row>
                    <xdr:rowOff>161925</xdr:rowOff>
                  </from>
                  <to>
                    <xdr:col>6</xdr:col>
                    <xdr:colOff>647700</xdr:colOff>
                    <xdr:row>49</xdr:row>
                    <xdr:rowOff>9525</xdr:rowOff>
                  </to>
                </anchor>
              </controlPr>
            </control>
          </mc:Choice>
        </mc:AlternateContent>
        <mc:AlternateContent xmlns:mc="http://schemas.openxmlformats.org/markup-compatibility/2006">
          <mc:Choice Requires="x14">
            <control shapeId="11282" r:id="rId12" name="Check Box 18">
              <controlPr defaultSize="0" autoFill="0" autoLine="0" autoPict="0">
                <anchor moveWithCells="1">
                  <from>
                    <xdr:col>6</xdr:col>
                    <xdr:colOff>371475</xdr:colOff>
                    <xdr:row>48</xdr:row>
                    <xdr:rowOff>180975</xdr:rowOff>
                  </from>
                  <to>
                    <xdr:col>6</xdr:col>
                    <xdr:colOff>657225</xdr:colOff>
                    <xdr:row>50</xdr:row>
                    <xdr:rowOff>28575</xdr:rowOff>
                  </to>
                </anchor>
              </controlPr>
            </control>
          </mc:Choice>
        </mc:AlternateContent>
        <mc:AlternateContent xmlns:mc="http://schemas.openxmlformats.org/markup-compatibility/2006">
          <mc:Choice Requires="x14">
            <control shapeId="11303" r:id="rId13" name="Group Box 39">
              <controlPr defaultSize="0" autoFill="0" autoPict="0">
                <anchor moveWithCells="1">
                  <from>
                    <xdr:col>2</xdr:col>
                    <xdr:colOff>0</xdr:colOff>
                    <xdr:row>29</xdr:row>
                    <xdr:rowOff>304800</xdr:rowOff>
                  </from>
                  <to>
                    <xdr:col>7</xdr:col>
                    <xdr:colOff>0</xdr:colOff>
                    <xdr:row>31</xdr:row>
                    <xdr:rowOff>0</xdr:rowOff>
                  </to>
                </anchor>
              </controlPr>
            </control>
          </mc:Choice>
        </mc:AlternateContent>
        <mc:AlternateContent xmlns:mc="http://schemas.openxmlformats.org/markup-compatibility/2006">
          <mc:Choice Requires="x14">
            <control shapeId="11313" r:id="rId14" name="Option Button 49">
              <controlPr defaultSize="0" autoFill="0" autoLine="0" autoPict="0">
                <anchor moveWithCells="1">
                  <from>
                    <xdr:col>2</xdr:col>
                    <xdr:colOff>295275</xdr:colOff>
                    <xdr:row>30</xdr:row>
                    <xdr:rowOff>123825</xdr:rowOff>
                  </from>
                  <to>
                    <xdr:col>2</xdr:col>
                    <xdr:colOff>790575</xdr:colOff>
                    <xdr:row>30</xdr:row>
                    <xdr:rowOff>504825</xdr:rowOff>
                  </to>
                </anchor>
              </controlPr>
            </control>
          </mc:Choice>
        </mc:AlternateContent>
        <mc:AlternateContent xmlns:mc="http://schemas.openxmlformats.org/markup-compatibility/2006">
          <mc:Choice Requires="x14">
            <control shapeId="11314" r:id="rId15" name="Option Button 50">
              <controlPr defaultSize="0" autoFill="0" autoLine="0" autoPict="0">
                <anchor moveWithCells="1">
                  <from>
                    <xdr:col>3</xdr:col>
                    <xdr:colOff>295275</xdr:colOff>
                    <xdr:row>30</xdr:row>
                    <xdr:rowOff>142875</xdr:rowOff>
                  </from>
                  <to>
                    <xdr:col>3</xdr:col>
                    <xdr:colOff>790575</xdr:colOff>
                    <xdr:row>30</xdr:row>
                    <xdr:rowOff>523875</xdr:rowOff>
                  </to>
                </anchor>
              </controlPr>
            </control>
          </mc:Choice>
        </mc:AlternateContent>
        <mc:AlternateContent xmlns:mc="http://schemas.openxmlformats.org/markup-compatibility/2006">
          <mc:Choice Requires="x14">
            <control shapeId="11315" r:id="rId16" name="Option Button 51">
              <controlPr defaultSize="0" autoFill="0" autoLine="0" autoPict="0">
                <anchor moveWithCells="1">
                  <from>
                    <xdr:col>4</xdr:col>
                    <xdr:colOff>266700</xdr:colOff>
                    <xdr:row>30</xdr:row>
                    <xdr:rowOff>123825</xdr:rowOff>
                  </from>
                  <to>
                    <xdr:col>4</xdr:col>
                    <xdr:colOff>771525</xdr:colOff>
                    <xdr:row>30</xdr:row>
                    <xdr:rowOff>523875</xdr:rowOff>
                  </to>
                </anchor>
              </controlPr>
            </control>
          </mc:Choice>
        </mc:AlternateContent>
        <mc:AlternateContent xmlns:mc="http://schemas.openxmlformats.org/markup-compatibility/2006">
          <mc:Choice Requires="x14">
            <control shapeId="11316" r:id="rId17" name="Option Button 52">
              <controlPr defaultSize="0" autoFill="0" autoLine="0" autoPict="0">
                <anchor moveWithCells="1">
                  <from>
                    <xdr:col>5</xdr:col>
                    <xdr:colOff>295275</xdr:colOff>
                    <xdr:row>30</xdr:row>
                    <xdr:rowOff>123825</xdr:rowOff>
                  </from>
                  <to>
                    <xdr:col>5</xdr:col>
                    <xdr:colOff>800100</xdr:colOff>
                    <xdr:row>30</xdr:row>
                    <xdr:rowOff>523875</xdr:rowOff>
                  </to>
                </anchor>
              </controlPr>
            </control>
          </mc:Choice>
        </mc:AlternateContent>
        <mc:AlternateContent xmlns:mc="http://schemas.openxmlformats.org/markup-compatibility/2006">
          <mc:Choice Requires="x14">
            <control shapeId="11317" r:id="rId18" name="Option Button 53">
              <controlPr defaultSize="0" autoFill="0" autoLine="0" autoPict="0">
                <anchor moveWithCells="1">
                  <from>
                    <xdr:col>6</xdr:col>
                    <xdr:colOff>314325</xdr:colOff>
                    <xdr:row>30</xdr:row>
                    <xdr:rowOff>123825</xdr:rowOff>
                  </from>
                  <to>
                    <xdr:col>6</xdr:col>
                    <xdr:colOff>800100</xdr:colOff>
                    <xdr:row>30</xdr:row>
                    <xdr:rowOff>495300</xdr:rowOff>
                  </to>
                </anchor>
              </controlPr>
            </control>
          </mc:Choice>
        </mc:AlternateContent>
        <mc:AlternateContent xmlns:mc="http://schemas.openxmlformats.org/markup-compatibility/2006">
          <mc:Choice Requires="x14">
            <control shapeId="11318" r:id="rId19" name="Group Box 54">
              <controlPr defaultSize="0" autoFill="0" autoPict="0">
                <anchor moveWithCells="1">
                  <from>
                    <xdr:col>1</xdr:col>
                    <xdr:colOff>1590675</xdr:colOff>
                    <xdr:row>30</xdr:row>
                    <xdr:rowOff>533400</xdr:rowOff>
                  </from>
                  <to>
                    <xdr:col>6</xdr:col>
                    <xdr:colOff>876300</xdr:colOff>
                    <xdr:row>31</xdr:row>
                    <xdr:rowOff>371475</xdr:rowOff>
                  </to>
                </anchor>
              </controlPr>
            </control>
          </mc:Choice>
        </mc:AlternateContent>
        <mc:AlternateContent xmlns:mc="http://schemas.openxmlformats.org/markup-compatibility/2006">
          <mc:Choice Requires="x14">
            <control shapeId="11319" r:id="rId20" name="Option Button 55">
              <controlPr defaultSize="0" autoFill="0" autoLine="0" autoPict="0">
                <anchor moveWithCells="1">
                  <from>
                    <xdr:col>2</xdr:col>
                    <xdr:colOff>295275</xdr:colOff>
                    <xdr:row>31</xdr:row>
                    <xdr:rowOff>66675</xdr:rowOff>
                  </from>
                  <to>
                    <xdr:col>2</xdr:col>
                    <xdr:colOff>752475</xdr:colOff>
                    <xdr:row>31</xdr:row>
                    <xdr:rowOff>333375</xdr:rowOff>
                  </to>
                </anchor>
              </controlPr>
            </control>
          </mc:Choice>
        </mc:AlternateContent>
        <mc:AlternateContent xmlns:mc="http://schemas.openxmlformats.org/markup-compatibility/2006">
          <mc:Choice Requires="x14">
            <control shapeId="11320" r:id="rId21" name="Option Button 56">
              <controlPr defaultSize="0" autoFill="0" autoLine="0" autoPict="0">
                <anchor moveWithCells="1">
                  <from>
                    <xdr:col>3</xdr:col>
                    <xdr:colOff>295275</xdr:colOff>
                    <xdr:row>31</xdr:row>
                    <xdr:rowOff>66675</xdr:rowOff>
                  </from>
                  <to>
                    <xdr:col>3</xdr:col>
                    <xdr:colOff>809625</xdr:colOff>
                    <xdr:row>31</xdr:row>
                    <xdr:rowOff>342900</xdr:rowOff>
                  </to>
                </anchor>
              </controlPr>
            </control>
          </mc:Choice>
        </mc:AlternateContent>
        <mc:AlternateContent xmlns:mc="http://schemas.openxmlformats.org/markup-compatibility/2006">
          <mc:Choice Requires="x14">
            <control shapeId="11321" r:id="rId22" name="Option Button 57">
              <controlPr defaultSize="0" autoFill="0" autoLine="0" autoPict="0">
                <anchor moveWithCells="1">
                  <from>
                    <xdr:col>4</xdr:col>
                    <xdr:colOff>266700</xdr:colOff>
                    <xdr:row>31</xdr:row>
                    <xdr:rowOff>66675</xdr:rowOff>
                  </from>
                  <to>
                    <xdr:col>4</xdr:col>
                    <xdr:colOff>800100</xdr:colOff>
                    <xdr:row>31</xdr:row>
                    <xdr:rowOff>342900</xdr:rowOff>
                  </to>
                </anchor>
              </controlPr>
            </control>
          </mc:Choice>
        </mc:AlternateContent>
        <mc:AlternateContent xmlns:mc="http://schemas.openxmlformats.org/markup-compatibility/2006">
          <mc:Choice Requires="x14">
            <control shapeId="11322" r:id="rId23" name="Option Button 58">
              <controlPr defaultSize="0" autoFill="0" autoLine="0" autoPict="0">
                <anchor moveWithCells="1">
                  <from>
                    <xdr:col>5</xdr:col>
                    <xdr:colOff>295275</xdr:colOff>
                    <xdr:row>31</xdr:row>
                    <xdr:rowOff>66675</xdr:rowOff>
                  </from>
                  <to>
                    <xdr:col>5</xdr:col>
                    <xdr:colOff>771525</xdr:colOff>
                    <xdr:row>31</xdr:row>
                    <xdr:rowOff>342900</xdr:rowOff>
                  </to>
                </anchor>
              </controlPr>
            </control>
          </mc:Choice>
        </mc:AlternateContent>
        <mc:AlternateContent xmlns:mc="http://schemas.openxmlformats.org/markup-compatibility/2006">
          <mc:Choice Requires="x14">
            <control shapeId="11324" r:id="rId24" name="Option Button 60">
              <controlPr defaultSize="0" autoFill="0" autoLine="0" autoPict="0">
                <anchor moveWithCells="1">
                  <from>
                    <xdr:col>6</xdr:col>
                    <xdr:colOff>304800</xdr:colOff>
                    <xdr:row>31</xdr:row>
                    <xdr:rowOff>47625</xdr:rowOff>
                  </from>
                  <to>
                    <xdr:col>6</xdr:col>
                    <xdr:colOff>800100</xdr:colOff>
                    <xdr:row>31</xdr:row>
                    <xdr:rowOff>314325</xdr:rowOff>
                  </to>
                </anchor>
              </controlPr>
            </control>
          </mc:Choice>
        </mc:AlternateContent>
        <mc:AlternateContent xmlns:mc="http://schemas.openxmlformats.org/markup-compatibility/2006">
          <mc:Choice Requires="x14">
            <control shapeId="11325" r:id="rId25" name="Group Box 61">
              <controlPr defaultSize="0" autoFill="0" autoPict="0">
                <anchor moveWithCells="1">
                  <from>
                    <xdr:col>2</xdr:col>
                    <xdr:colOff>0</xdr:colOff>
                    <xdr:row>31</xdr:row>
                    <xdr:rowOff>371475</xdr:rowOff>
                  </from>
                  <to>
                    <xdr:col>6</xdr:col>
                    <xdr:colOff>876300</xdr:colOff>
                    <xdr:row>33</xdr:row>
                    <xdr:rowOff>0</xdr:rowOff>
                  </to>
                </anchor>
              </controlPr>
            </control>
          </mc:Choice>
        </mc:AlternateContent>
        <mc:AlternateContent xmlns:mc="http://schemas.openxmlformats.org/markup-compatibility/2006">
          <mc:Choice Requires="x14">
            <control shapeId="11326" r:id="rId26" name="Option Button 62">
              <controlPr defaultSize="0" autoFill="0" autoLine="0" autoPict="0">
                <anchor moveWithCells="1">
                  <from>
                    <xdr:col>2</xdr:col>
                    <xdr:colOff>295275</xdr:colOff>
                    <xdr:row>32</xdr:row>
                    <xdr:rowOff>38100</xdr:rowOff>
                  </from>
                  <to>
                    <xdr:col>2</xdr:col>
                    <xdr:colOff>771525</xdr:colOff>
                    <xdr:row>32</xdr:row>
                    <xdr:rowOff>409575</xdr:rowOff>
                  </to>
                </anchor>
              </controlPr>
            </control>
          </mc:Choice>
        </mc:AlternateContent>
        <mc:AlternateContent xmlns:mc="http://schemas.openxmlformats.org/markup-compatibility/2006">
          <mc:Choice Requires="x14">
            <control shapeId="11327" r:id="rId27" name="Option Button 63">
              <controlPr defaultSize="0" autoFill="0" autoLine="0" autoPict="0">
                <anchor moveWithCells="1">
                  <from>
                    <xdr:col>3</xdr:col>
                    <xdr:colOff>304800</xdr:colOff>
                    <xdr:row>32</xdr:row>
                    <xdr:rowOff>66675</xdr:rowOff>
                  </from>
                  <to>
                    <xdr:col>3</xdr:col>
                    <xdr:colOff>790575</xdr:colOff>
                    <xdr:row>32</xdr:row>
                    <xdr:rowOff>409575</xdr:rowOff>
                  </to>
                </anchor>
              </controlPr>
            </control>
          </mc:Choice>
        </mc:AlternateContent>
        <mc:AlternateContent xmlns:mc="http://schemas.openxmlformats.org/markup-compatibility/2006">
          <mc:Choice Requires="x14">
            <control shapeId="11328" r:id="rId28" name="Option Button 64">
              <controlPr defaultSize="0" autoFill="0" autoLine="0" autoPict="0">
                <anchor moveWithCells="1">
                  <from>
                    <xdr:col>4</xdr:col>
                    <xdr:colOff>266700</xdr:colOff>
                    <xdr:row>32</xdr:row>
                    <xdr:rowOff>38100</xdr:rowOff>
                  </from>
                  <to>
                    <xdr:col>4</xdr:col>
                    <xdr:colOff>771525</xdr:colOff>
                    <xdr:row>32</xdr:row>
                    <xdr:rowOff>381000</xdr:rowOff>
                  </to>
                </anchor>
              </controlPr>
            </control>
          </mc:Choice>
        </mc:AlternateContent>
        <mc:AlternateContent xmlns:mc="http://schemas.openxmlformats.org/markup-compatibility/2006">
          <mc:Choice Requires="x14">
            <control shapeId="11329" r:id="rId29" name="Option Button 65">
              <controlPr defaultSize="0" autoFill="0" autoLine="0" autoPict="0">
                <anchor moveWithCells="1">
                  <from>
                    <xdr:col>5</xdr:col>
                    <xdr:colOff>295275</xdr:colOff>
                    <xdr:row>32</xdr:row>
                    <xdr:rowOff>38100</xdr:rowOff>
                  </from>
                  <to>
                    <xdr:col>5</xdr:col>
                    <xdr:colOff>800100</xdr:colOff>
                    <xdr:row>32</xdr:row>
                    <xdr:rowOff>381000</xdr:rowOff>
                  </to>
                </anchor>
              </controlPr>
            </control>
          </mc:Choice>
        </mc:AlternateContent>
        <mc:AlternateContent xmlns:mc="http://schemas.openxmlformats.org/markup-compatibility/2006">
          <mc:Choice Requires="x14">
            <control shapeId="11332" r:id="rId30" name="Option Button 68">
              <controlPr defaultSize="0" autoFill="0" autoLine="0" autoPict="0">
                <anchor moveWithCells="1">
                  <from>
                    <xdr:col>6</xdr:col>
                    <xdr:colOff>304800</xdr:colOff>
                    <xdr:row>32</xdr:row>
                    <xdr:rowOff>47625</xdr:rowOff>
                  </from>
                  <to>
                    <xdr:col>6</xdr:col>
                    <xdr:colOff>800100</xdr:colOff>
                    <xdr:row>32</xdr:row>
                    <xdr:rowOff>381000</xdr:rowOff>
                  </to>
                </anchor>
              </controlPr>
            </control>
          </mc:Choice>
        </mc:AlternateContent>
        <mc:AlternateContent xmlns:mc="http://schemas.openxmlformats.org/markup-compatibility/2006">
          <mc:Choice Requires="x14">
            <control shapeId="11333" r:id="rId31" name="Group Box 69">
              <controlPr locked="0" defaultSize="0" autoFill="0" autoPict="0">
                <anchor moveWithCells="1">
                  <from>
                    <xdr:col>2</xdr:col>
                    <xdr:colOff>0</xdr:colOff>
                    <xdr:row>33</xdr:row>
                    <xdr:rowOff>0</xdr:rowOff>
                  </from>
                  <to>
                    <xdr:col>6</xdr:col>
                    <xdr:colOff>876300</xdr:colOff>
                    <xdr:row>33</xdr:row>
                    <xdr:rowOff>314325</xdr:rowOff>
                  </to>
                </anchor>
              </controlPr>
            </control>
          </mc:Choice>
        </mc:AlternateContent>
        <mc:AlternateContent xmlns:mc="http://schemas.openxmlformats.org/markup-compatibility/2006">
          <mc:Choice Requires="x14">
            <control shapeId="11334" r:id="rId32" name="Option Button 70">
              <controlPr defaultSize="0" autoFill="0" autoLine="0" autoPict="0">
                <anchor moveWithCells="1">
                  <from>
                    <xdr:col>2</xdr:col>
                    <xdr:colOff>295275</xdr:colOff>
                    <xdr:row>33</xdr:row>
                    <xdr:rowOff>38100</xdr:rowOff>
                  </from>
                  <to>
                    <xdr:col>2</xdr:col>
                    <xdr:colOff>847725</xdr:colOff>
                    <xdr:row>33</xdr:row>
                    <xdr:rowOff>266700</xdr:rowOff>
                  </to>
                </anchor>
              </controlPr>
            </control>
          </mc:Choice>
        </mc:AlternateContent>
        <mc:AlternateContent xmlns:mc="http://schemas.openxmlformats.org/markup-compatibility/2006">
          <mc:Choice Requires="x14">
            <control shapeId="11335" r:id="rId33" name="Option Button 71">
              <controlPr defaultSize="0" autoFill="0" autoLine="0" autoPict="0">
                <anchor moveWithCells="1">
                  <from>
                    <xdr:col>3</xdr:col>
                    <xdr:colOff>295275</xdr:colOff>
                    <xdr:row>33</xdr:row>
                    <xdr:rowOff>47625</xdr:rowOff>
                  </from>
                  <to>
                    <xdr:col>3</xdr:col>
                    <xdr:colOff>800100</xdr:colOff>
                    <xdr:row>33</xdr:row>
                    <xdr:rowOff>295275</xdr:rowOff>
                  </to>
                </anchor>
              </controlPr>
            </control>
          </mc:Choice>
        </mc:AlternateContent>
        <mc:AlternateContent xmlns:mc="http://schemas.openxmlformats.org/markup-compatibility/2006">
          <mc:Choice Requires="x14">
            <control shapeId="11336" r:id="rId34" name="Option Button 72">
              <controlPr defaultSize="0" autoFill="0" autoLine="0" autoPict="0">
                <anchor moveWithCells="1">
                  <from>
                    <xdr:col>4</xdr:col>
                    <xdr:colOff>257175</xdr:colOff>
                    <xdr:row>33</xdr:row>
                    <xdr:rowOff>38100</xdr:rowOff>
                  </from>
                  <to>
                    <xdr:col>4</xdr:col>
                    <xdr:colOff>809625</xdr:colOff>
                    <xdr:row>33</xdr:row>
                    <xdr:rowOff>276225</xdr:rowOff>
                  </to>
                </anchor>
              </controlPr>
            </control>
          </mc:Choice>
        </mc:AlternateContent>
        <mc:AlternateContent xmlns:mc="http://schemas.openxmlformats.org/markup-compatibility/2006">
          <mc:Choice Requires="x14">
            <control shapeId="11337" r:id="rId35" name="Option Button 73">
              <controlPr defaultSize="0" autoFill="0" autoLine="0" autoPict="0">
                <anchor moveWithCells="1">
                  <from>
                    <xdr:col>5</xdr:col>
                    <xdr:colOff>295275</xdr:colOff>
                    <xdr:row>33</xdr:row>
                    <xdr:rowOff>47625</xdr:rowOff>
                  </from>
                  <to>
                    <xdr:col>5</xdr:col>
                    <xdr:colOff>828675</xdr:colOff>
                    <xdr:row>33</xdr:row>
                    <xdr:rowOff>276225</xdr:rowOff>
                  </to>
                </anchor>
              </controlPr>
            </control>
          </mc:Choice>
        </mc:AlternateContent>
        <mc:AlternateContent xmlns:mc="http://schemas.openxmlformats.org/markup-compatibility/2006">
          <mc:Choice Requires="x14">
            <control shapeId="11338" r:id="rId36" name="Option Button 74">
              <controlPr defaultSize="0" autoFill="0" autoLine="0" autoPict="0">
                <anchor moveWithCells="1">
                  <from>
                    <xdr:col>6</xdr:col>
                    <xdr:colOff>304800</xdr:colOff>
                    <xdr:row>33</xdr:row>
                    <xdr:rowOff>38100</xdr:rowOff>
                  </from>
                  <to>
                    <xdr:col>6</xdr:col>
                    <xdr:colOff>809625</xdr:colOff>
                    <xdr:row>33</xdr:row>
                    <xdr:rowOff>295275</xdr:rowOff>
                  </to>
                </anchor>
              </controlPr>
            </control>
          </mc:Choice>
        </mc:AlternateContent>
        <mc:AlternateContent xmlns:mc="http://schemas.openxmlformats.org/markup-compatibility/2006">
          <mc:Choice Requires="x14">
            <control shapeId="11339" r:id="rId37" name="Group Box 75">
              <controlPr defaultSize="0" autoFill="0" autoPict="0">
                <anchor moveWithCells="1">
                  <from>
                    <xdr:col>2</xdr:col>
                    <xdr:colOff>0</xdr:colOff>
                    <xdr:row>34</xdr:row>
                    <xdr:rowOff>0</xdr:rowOff>
                  </from>
                  <to>
                    <xdr:col>6</xdr:col>
                    <xdr:colOff>876300</xdr:colOff>
                    <xdr:row>35</xdr:row>
                    <xdr:rowOff>9525</xdr:rowOff>
                  </to>
                </anchor>
              </controlPr>
            </control>
          </mc:Choice>
        </mc:AlternateContent>
        <mc:AlternateContent xmlns:mc="http://schemas.openxmlformats.org/markup-compatibility/2006">
          <mc:Choice Requires="x14">
            <control shapeId="11340" r:id="rId38" name="Option Button 76">
              <controlPr defaultSize="0" autoFill="0" autoLine="0" autoPict="0">
                <anchor moveWithCells="1">
                  <from>
                    <xdr:col>2</xdr:col>
                    <xdr:colOff>295275</xdr:colOff>
                    <xdr:row>34</xdr:row>
                    <xdr:rowOff>66675</xdr:rowOff>
                  </from>
                  <to>
                    <xdr:col>2</xdr:col>
                    <xdr:colOff>723900</xdr:colOff>
                    <xdr:row>34</xdr:row>
                    <xdr:rowOff>447675</xdr:rowOff>
                  </to>
                </anchor>
              </controlPr>
            </control>
          </mc:Choice>
        </mc:AlternateContent>
        <mc:AlternateContent xmlns:mc="http://schemas.openxmlformats.org/markup-compatibility/2006">
          <mc:Choice Requires="x14">
            <control shapeId="11341" r:id="rId39" name="Option Button 77">
              <controlPr defaultSize="0" autoFill="0" autoLine="0" autoPict="0">
                <anchor moveWithCells="1">
                  <from>
                    <xdr:col>3</xdr:col>
                    <xdr:colOff>295275</xdr:colOff>
                    <xdr:row>34</xdr:row>
                    <xdr:rowOff>76200</xdr:rowOff>
                  </from>
                  <to>
                    <xdr:col>3</xdr:col>
                    <xdr:colOff>752475</xdr:colOff>
                    <xdr:row>34</xdr:row>
                    <xdr:rowOff>409575</xdr:rowOff>
                  </to>
                </anchor>
              </controlPr>
            </control>
          </mc:Choice>
        </mc:AlternateContent>
        <mc:AlternateContent xmlns:mc="http://schemas.openxmlformats.org/markup-compatibility/2006">
          <mc:Choice Requires="x14">
            <control shapeId="11342" r:id="rId40" name="Option Button 78">
              <controlPr defaultSize="0" autoFill="0" autoLine="0" autoPict="0">
                <anchor moveWithCells="1">
                  <from>
                    <xdr:col>4</xdr:col>
                    <xdr:colOff>266700</xdr:colOff>
                    <xdr:row>34</xdr:row>
                    <xdr:rowOff>76200</xdr:rowOff>
                  </from>
                  <to>
                    <xdr:col>4</xdr:col>
                    <xdr:colOff>752475</xdr:colOff>
                    <xdr:row>34</xdr:row>
                    <xdr:rowOff>419100</xdr:rowOff>
                  </to>
                </anchor>
              </controlPr>
            </control>
          </mc:Choice>
        </mc:AlternateContent>
        <mc:AlternateContent xmlns:mc="http://schemas.openxmlformats.org/markup-compatibility/2006">
          <mc:Choice Requires="x14">
            <control shapeId="11343" r:id="rId41" name="Option Button 79">
              <controlPr defaultSize="0" autoFill="0" autoLine="0" autoPict="0">
                <anchor moveWithCells="1">
                  <from>
                    <xdr:col>5</xdr:col>
                    <xdr:colOff>295275</xdr:colOff>
                    <xdr:row>34</xdr:row>
                    <xdr:rowOff>47625</xdr:rowOff>
                  </from>
                  <to>
                    <xdr:col>5</xdr:col>
                    <xdr:colOff>752475</xdr:colOff>
                    <xdr:row>34</xdr:row>
                    <xdr:rowOff>428625</xdr:rowOff>
                  </to>
                </anchor>
              </controlPr>
            </control>
          </mc:Choice>
        </mc:AlternateContent>
        <mc:AlternateContent xmlns:mc="http://schemas.openxmlformats.org/markup-compatibility/2006">
          <mc:Choice Requires="x14">
            <control shapeId="11344" r:id="rId42" name="Option Button 80">
              <controlPr defaultSize="0" autoFill="0" autoLine="0" autoPict="0">
                <anchor moveWithCells="1">
                  <from>
                    <xdr:col>6</xdr:col>
                    <xdr:colOff>304800</xdr:colOff>
                    <xdr:row>34</xdr:row>
                    <xdr:rowOff>47625</xdr:rowOff>
                  </from>
                  <to>
                    <xdr:col>6</xdr:col>
                    <xdr:colOff>733425</xdr:colOff>
                    <xdr:row>34</xdr:row>
                    <xdr:rowOff>428625</xdr:rowOff>
                  </to>
                </anchor>
              </controlPr>
            </control>
          </mc:Choice>
        </mc:AlternateContent>
        <mc:AlternateContent xmlns:mc="http://schemas.openxmlformats.org/markup-compatibility/2006">
          <mc:Choice Requires="x14">
            <control shapeId="11345" r:id="rId43" name="Group Box 81">
              <controlPr defaultSize="0" autoFill="0" autoPict="0">
                <anchor moveWithCells="1">
                  <from>
                    <xdr:col>2</xdr:col>
                    <xdr:colOff>0</xdr:colOff>
                    <xdr:row>35</xdr:row>
                    <xdr:rowOff>0</xdr:rowOff>
                  </from>
                  <to>
                    <xdr:col>6</xdr:col>
                    <xdr:colOff>885825</xdr:colOff>
                    <xdr:row>35</xdr:row>
                    <xdr:rowOff>571500</xdr:rowOff>
                  </to>
                </anchor>
              </controlPr>
            </control>
          </mc:Choice>
        </mc:AlternateContent>
        <mc:AlternateContent xmlns:mc="http://schemas.openxmlformats.org/markup-compatibility/2006">
          <mc:Choice Requires="x14">
            <control shapeId="11346" r:id="rId44" name="Option Button 82">
              <controlPr defaultSize="0" autoFill="0" autoLine="0" autoPict="0">
                <anchor moveWithCells="1">
                  <from>
                    <xdr:col>2</xdr:col>
                    <xdr:colOff>295275</xdr:colOff>
                    <xdr:row>35</xdr:row>
                    <xdr:rowOff>123825</xdr:rowOff>
                  </from>
                  <to>
                    <xdr:col>2</xdr:col>
                    <xdr:colOff>790575</xdr:colOff>
                    <xdr:row>35</xdr:row>
                    <xdr:rowOff>495300</xdr:rowOff>
                  </to>
                </anchor>
              </controlPr>
            </control>
          </mc:Choice>
        </mc:AlternateContent>
        <mc:AlternateContent xmlns:mc="http://schemas.openxmlformats.org/markup-compatibility/2006">
          <mc:Choice Requires="x14">
            <control shapeId="11347" r:id="rId45" name="Option Button 83">
              <controlPr defaultSize="0" autoFill="0" autoLine="0" autoPict="0">
                <anchor moveWithCells="1">
                  <from>
                    <xdr:col>3</xdr:col>
                    <xdr:colOff>304800</xdr:colOff>
                    <xdr:row>35</xdr:row>
                    <xdr:rowOff>123825</xdr:rowOff>
                  </from>
                  <to>
                    <xdr:col>3</xdr:col>
                    <xdr:colOff>838200</xdr:colOff>
                    <xdr:row>35</xdr:row>
                    <xdr:rowOff>504825</xdr:rowOff>
                  </to>
                </anchor>
              </controlPr>
            </control>
          </mc:Choice>
        </mc:AlternateContent>
        <mc:AlternateContent xmlns:mc="http://schemas.openxmlformats.org/markup-compatibility/2006">
          <mc:Choice Requires="x14">
            <control shapeId="11348" r:id="rId46" name="Option Button 84">
              <controlPr defaultSize="0" autoFill="0" autoLine="0" autoPict="0">
                <anchor moveWithCells="1">
                  <from>
                    <xdr:col>4</xdr:col>
                    <xdr:colOff>266700</xdr:colOff>
                    <xdr:row>35</xdr:row>
                    <xdr:rowOff>142875</xdr:rowOff>
                  </from>
                  <to>
                    <xdr:col>4</xdr:col>
                    <xdr:colOff>762000</xdr:colOff>
                    <xdr:row>35</xdr:row>
                    <xdr:rowOff>504825</xdr:rowOff>
                  </to>
                </anchor>
              </controlPr>
            </control>
          </mc:Choice>
        </mc:AlternateContent>
        <mc:AlternateContent xmlns:mc="http://schemas.openxmlformats.org/markup-compatibility/2006">
          <mc:Choice Requires="x14">
            <control shapeId="11349" r:id="rId47" name="Option Button 85">
              <controlPr defaultSize="0" autoFill="0" autoLine="0" autoPict="0">
                <anchor moveWithCells="1">
                  <from>
                    <xdr:col>5</xdr:col>
                    <xdr:colOff>304800</xdr:colOff>
                    <xdr:row>35</xdr:row>
                    <xdr:rowOff>142875</xdr:rowOff>
                  </from>
                  <to>
                    <xdr:col>5</xdr:col>
                    <xdr:colOff>771525</xdr:colOff>
                    <xdr:row>35</xdr:row>
                    <xdr:rowOff>504825</xdr:rowOff>
                  </to>
                </anchor>
              </controlPr>
            </control>
          </mc:Choice>
        </mc:AlternateContent>
        <mc:AlternateContent xmlns:mc="http://schemas.openxmlformats.org/markup-compatibility/2006">
          <mc:Choice Requires="x14">
            <control shapeId="11350" r:id="rId48" name="Option Button 86">
              <controlPr defaultSize="0" autoFill="0" autoLine="0" autoPict="0">
                <anchor moveWithCells="1">
                  <from>
                    <xdr:col>6</xdr:col>
                    <xdr:colOff>314325</xdr:colOff>
                    <xdr:row>35</xdr:row>
                    <xdr:rowOff>142875</xdr:rowOff>
                  </from>
                  <to>
                    <xdr:col>6</xdr:col>
                    <xdr:colOff>800100</xdr:colOff>
                    <xdr:row>35</xdr:row>
                    <xdr:rowOff>504825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50"/>
  <sheetViews>
    <sheetView showGridLines="0" showRowColHeaders="0" showRuler="0" topLeftCell="A43" zoomScale="120" zoomScaleNormal="120" zoomScalePageLayoutView="200" workbookViewId="0">
      <selection activeCell="B32" sqref="B32"/>
    </sheetView>
  </sheetViews>
  <sheetFormatPr defaultColWidth="0" defaultRowHeight="0" customHeight="1" zeroHeight="1" x14ac:dyDescent="0.2"/>
  <cols>
    <col min="1" max="1" width="4.125" style="2" customWidth="1"/>
    <col min="2" max="2" width="60.625" style="1" customWidth="1"/>
    <col min="3" max="4" width="11.625" style="1" customWidth="1"/>
    <col min="5" max="5" width="37.375" style="1" hidden="1" customWidth="1"/>
    <col min="6" max="16384" width="0" style="1" hidden="1"/>
  </cols>
  <sheetData>
    <row r="1" spans="1:5" ht="18" x14ac:dyDescent="0.2">
      <c r="A1" s="559" t="s">
        <v>646</v>
      </c>
      <c r="B1" s="559"/>
      <c r="C1" s="559"/>
      <c r="D1" s="166"/>
    </row>
    <row r="2" spans="1:5" ht="18" x14ac:dyDescent="0.2">
      <c r="A2" s="137"/>
      <c r="B2" s="137"/>
      <c r="C2" s="137"/>
      <c r="D2" s="137"/>
    </row>
    <row r="3" spans="1:5" ht="28.5" customHeight="1" x14ac:dyDescent="0.2">
      <c r="A3" s="3" t="s">
        <v>645</v>
      </c>
      <c r="B3" s="570" t="s">
        <v>644</v>
      </c>
      <c r="C3" s="562"/>
      <c r="D3" s="40"/>
    </row>
    <row r="4" spans="1:5" ht="13.5" customHeight="1" x14ac:dyDescent="0.2">
      <c r="A4" s="3"/>
      <c r="B4" s="39"/>
      <c r="C4" s="40"/>
      <c r="D4" s="40"/>
    </row>
    <row r="5" spans="1:5" ht="12.75" x14ac:dyDescent="0.2">
      <c r="A5" s="60"/>
      <c r="B5" s="51" t="s">
        <v>643</v>
      </c>
      <c r="C5" s="287" t="b">
        <v>0</v>
      </c>
      <c r="D5" s="173"/>
      <c r="E5" s="1" t="str" cm="1">
        <f t="array" ref="E5">_xlfn.IFS($C$5= TRUE, "Accelerated program|",$C$5=FALSE, " ")</f>
        <v xml:space="preserve"> </v>
      </c>
    </row>
    <row r="6" spans="1:5" ht="27" customHeight="1" x14ac:dyDescent="0.2">
      <c r="A6" s="60"/>
      <c r="B6" s="151" t="s">
        <v>1543</v>
      </c>
      <c r="C6" s="287" t="b">
        <v>0</v>
      </c>
      <c r="D6" s="173"/>
      <c r="E6" s="1" t="str" cm="1">
        <f t="array" ref="E6">_xlfn.IFS($C$6= TRUE, "Comprehensive transition and possecondary program for students with intellectual disabilities|",$C$6=FALSE, " ")</f>
        <v xml:space="preserve"> </v>
      </c>
    </row>
    <row r="7" spans="1:5" ht="12.75" x14ac:dyDescent="0.2">
      <c r="A7" s="60"/>
      <c r="B7" s="51" t="s">
        <v>642</v>
      </c>
      <c r="C7" s="287" t="b">
        <v>0</v>
      </c>
      <c r="D7" s="173"/>
      <c r="E7" s="1" t="str" cm="1">
        <f t="array" ref="E7">_xlfn.IFS($C$7= TRUE, "Cross-registration| ",$C$7=FALSE, " ")</f>
        <v xml:space="preserve"> </v>
      </c>
    </row>
    <row r="8" spans="1:5" ht="12.75" x14ac:dyDescent="0.2">
      <c r="A8" s="60"/>
      <c r="B8" s="51" t="s">
        <v>641</v>
      </c>
      <c r="C8" s="287" t="b">
        <v>0</v>
      </c>
      <c r="D8" s="173"/>
      <c r="E8" s="1" t="str" cm="1">
        <f t="array" ref="E8">_xlfn.IFS($C$8= TRUE, "Distance learning|",$C$8=FALSE, " ")</f>
        <v xml:space="preserve"> </v>
      </c>
    </row>
    <row r="9" spans="1:5" ht="12.75" x14ac:dyDescent="0.2">
      <c r="A9" s="60"/>
      <c r="B9" s="51" t="s">
        <v>640</v>
      </c>
      <c r="C9" s="287" t="b">
        <v>0</v>
      </c>
      <c r="D9" s="173"/>
      <c r="E9" s="1" t="str" cm="1">
        <f t="array" ref="E9">_xlfn.IFS($C$9= TRUE, "Double major| ",$C$9=FALSE, " ")</f>
        <v xml:space="preserve"> </v>
      </c>
    </row>
    <row r="10" spans="1:5" ht="12.75" x14ac:dyDescent="0.2">
      <c r="A10" s="60"/>
      <c r="B10" s="51" t="s">
        <v>639</v>
      </c>
      <c r="C10" s="287" t="b">
        <v>0</v>
      </c>
      <c r="D10" s="173"/>
      <c r="E10" s="1" t="str" cm="1">
        <f t="array" ref="E10">_xlfn.IFS($C$10= TRUE, "Dual enrollment|",$C$10=FALSE, " ")</f>
        <v xml:space="preserve"> </v>
      </c>
    </row>
    <row r="11" spans="1:5" ht="12.75" x14ac:dyDescent="0.2">
      <c r="A11" s="60"/>
      <c r="B11" s="51" t="s">
        <v>638</v>
      </c>
      <c r="C11" s="287" t="b">
        <v>0</v>
      </c>
      <c r="D11" s="173"/>
      <c r="E11" s="1" t="str" cm="1">
        <f t="array" ref="E11">_xlfn.IFS($C$11= TRUE, "English as a Second Language (ESL)|",$C$11=FALSE, " ")</f>
        <v xml:space="preserve"> </v>
      </c>
    </row>
    <row r="12" spans="1:5" ht="12.75" x14ac:dyDescent="0.2">
      <c r="A12" s="60"/>
      <c r="B12" s="51" t="s">
        <v>637</v>
      </c>
      <c r="C12" s="287" t="b">
        <v>0</v>
      </c>
      <c r="D12" s="173"/>
      <c r="E12" s="1" t="str" cm="1">
        <f t="array" ref="E12">_xlfn.IFS($C$12= TRUE, "Exchange student program (domestic)|",$C$12=FALSE, " ")</f>
        <v xml:space="preserve"> </v>
      </c>
    </row>
    <row r="13" spans="1:5" ht="12.75" x14ac:dyDescent="0.2">
      <c r="A13" s="60"/>
      <c r="B13" s="51" t="s">
        <v>636</v>
      </c>
      <c r="C13" s="287" t="b">
        <v>0</v>
      </c>
      <c r="D13" s="173"/>
      <c r="E13" s="1" t="str" cm="1">
        <f t="array" ref="E13">_xlfn.IFS($C$13= TRUE, "External degree program|",$C$13=FALSE, " ")</f>
        <v xml:space="preserve"> </v>
      </c>
    </row>
    <row r="14" spans="1:5" ht="12.75" x14ac:dyDescent="0.2">
      <c r="A14" s="60"/>
      <c r="B14" s="51" t="s">
        <v>635</v>
      </c>
      <c r="C14" s="287" t="b">
        <v>1</v>
      </c>
      <c r="D14" s="173"/>
      <c r="E14" s="1" t="str" cm="1">
        <f t="array" ref="E14">_xlfn.IFS($C$14= TRUE, "Honors program|",$C$14=FALSE, " ")</f>
        <v>Honors program|</v>
      </c>
    </row>
    <row r="15" spans="1:5" ht="12.75" x14ac:dyDescent="0.2">
      <c r="A15" s="60"/>
      <c r="B15" s="51" t="s">
        <v>634</v>
      </c>
      <c r="C15" s="287" t="b">
        <v>1</v>
      </c>
      <c r="D15" s="173"/>
      <c r="E15" s="1" t="str" cm="1">
        <f t="array" ref="E15">_xlfn.IFS($C$15= TRUE, "Independent study|",$C$15=FALSE, " ")</f>
        <v>Independent study|</v>
      </c>
    </row>
    <row r="16" spans="1:5" ht="12.75" x14ac:dyDescent="0.2">
      <c r="A16" s="60"/>
      <c r="B16" s="51" t="s">
        <v>633</v>
      </c>
      <c r="C16" s="287" t="b">
        <v>1</v>
      </c>
      <c r="D16" s="173"/>
      <c r="E16" s="1" t="str" cm="1">
        <f t="array" ref="E16">_xlfn.IFS($C$16= TRUE, "Internships|",$C$16=FALSE, " ")</f>
        <v>Internships|</v>
      </c>
    </row>
    <row r="17" spans="1:5" ht="12.75" x14ac:dyDescent="0.2">
      <c r="A17" s="60"/>
      <c r="B17" s="51" t="s">
        <v>632</v>
      </c>
      <c r="C17" s="287" t="b">
        <v>0</v>
      </c>
      <c r="D17" s="173"/>
      <c r="E17" s="1" t="str" cm="1">
        <f t="array" ref="E17">_xlfn.IFS($C$17= TRUE, "Liberal arts/career combination|",$C$17=FALSE, " ")</f>
        <v xml:space="preserve"> </v>
      </c>
    </row>
    <row r="18" spans="1:5" ht="12.75" x14ac:dyDescent="0.2">
      <c r="A18" s="60"/>
      <c r="B18" s="51" t="s">
        <v>631</v>
      </c>
      <c r="C18" s="287" t="b">
        <v>1</v>
      </c>
      <c r="D18" s="173"/>
      <c r="E18" s="1" t="str" cm="1">
        <f t="array" ref="E18">_xlfn.IFS($C$18= TRUE, "Student-designed major|",$C$18=FALSE, " ")</f>
        <v>Student-designed major|</v>
      </c>
    </row>
    <row r="19" spans="1:5" ht="12.75" x14ac:dyDescent="0.2">
      <c r="A19" s="60"/>
      <c r="B19" s="51" t="s">
        <v>630</v>
      </c>
      <c r="C19" s="287" t="b">
        <v>1</v>
      </c>
      <c r="D19" s="173"/>
      <c r="E19" s="1" t="str" cm="1">
        <f t="array" ref="E19">_xlfn.IFS($C$19= TRUE, "Study abroad|",$C$19=FALSE, " ")</f>
        <v>Study abroad|</v>
      </c>
    </row>
    <row r="20" spans="1:5" ht="12.75" x14ac:dyDescent="0.2">
      <c r="A20" s="60"/>
      <c r="B20" s="51" t="s">
        <v>629</v>
      </c>
      <c r="C20" s="287" t="b">
        <v>0</v>
      </c>
      <c r="D20" s="173"/>
      <c r="E20" s="1" t="str" cm="1">
        <f t="array" ref="E20">_xlfn.IFS($C$20= TRUE, "Teacher certification program|",$C$20=FALSE, " ")</f>
        <v xml:space="preserve"> </v>
      </c>
    </row>
    <row r="21" spans="1:5" ht="12.75" x14ac:dyDescent="0.2">
      <c r="A21" s="60"/>
      <c r="B21" s="51" t="s">
        <v>628</v>
      </c>
      <c r="C21" s="287" t="b">
        <v>0</v>
      </c>
      <c r="D21" s="173"/>
      <c r="E21" s="1" t="str" cm="1">
        <f t="array" ref="E21">_xlfn.IFS($C$21= TRUE, "Weekend college|",$C$21=FALSE, " ")</f>
        <v xml:space="preserve"> </v>
      </c>
    </row>
    <row r="22" spans="1:5" ht="12.75" x14ac:dyDescent="0.2">
      <c r="A22" s="60"/>
      <c r="B22" s="51" t="s">
        <v>1544</v>
      </c>
      <c r="C22" s="287" t="b">
        <v>0</v>
      </c>
      <c r="D22" s="173"/>
      <c r="E22" s="1" t="str" cm="1">
        <f t="array" ref="E22">_xlfn.IFS($C$22= TRUE, "Undergraduate research|",$C$22=FALSE, " ")</f>
        <v xml:space="preserve"> </v>
      </c>
    </row>
    <row r="23" spans="1:5" ht="12.75" x14ac:dyDescent="0.2">
      <c r="A23" s="60"/>
      <c r="B23" s="51" t="s">
        <v>139</v>
      </c>
      <c r="C23" s="287" t="b">
        <v>0</v>
      </c>
      <c r="D23" s="173"/>
      <c r="E23" s="1" t="str" cm="1">
        <f t="array" ref="E23">_xlfn.IFS($C$23= TRUE, "Other (specify)|",$C$23=FALSE, " ")</f>
        <v xml:space="preserve"> </v>
      </c>
    </row>
    <row r="24" spans="1:5" ht="23.1" customHeight="1" x14ac:dyDescent="0.2">
      <c r="B24" s="752"/>
      <c r="C24" s="752"/>
    </row>
    <row r="25" spans="1:5" ht="12.75" x14ac:dyDescent="0.2"/>
    <row r="26" spans="1:5" ht="12.75" x14ac:dyDescent="0.2">
      <c r="A26" s="3" t="s">
        <v>627</v>
      </c>
      <c r="B26" s="69" t="s">
        <v>626</v>
      </c>
    </row>
    <row r="27" spans="1:5" ht="12.75" x14ac:dyDescent="0.2"/>
    <row r="28" spans="1:5" ht="30" customHeight="1" x14ac:dyDescent="0.2">
      <c r="A28" s="24" t="s">
        <v>625</v>
      </c>
      <c r="B28" s="85" t="s">
        <v>624</v>
      </c>
      <c r="C28" s="85"/>
      <c r="D28" s="85"/>
    </row>
    <row r="29" spans="1:5" ht="12.75" x14ac:dyDescent="0.2">
      <c r="A29" s="141"/>
      <c r="B29" s="51" t="s">
        <v>787</v>
      </c>
      <c r="C29" s="287" t="b">
        <v>1</v>
      </c>
      <c r="D29" s="173"/>
      <c r="E29" s="1" t="str" cm="1">
        <f t="array" ref="E29">_xlfn.IFS(C29= TRUE, "Arts/fine arts|",C29=FALSE, " ")</f>
        <v>Arts/fine arts|</v>
      </c>
    </row>
    <row r="30" spans="1:5" ht="12.75" x14ac:dyDescent="0.2">
      <c r="A30" s="141"/>
      <c r="B30" s="51" t="s">
        <v>623</v>
      </c>
      <c r="C30" s="287" t="b">
        <v>0</v>
      </c>
      <c r="D30" s="173"/>
      <c r="E30" s="1" t="str" cm="1">
        <f t="array" ref="E30">_xlfn.IFS(C30= TRUE, "Computer literacy|",C30=FALSE, " ")</f>
        <v xml:space="preserve"> </v>
      </c>
    </row>
    <row r="31" spans="1:5" ht="12.75" x14ac:dyDescent="0.2">
      <c r="A31" s="141"/>
      <c r="B31" s="51" t="s">
        <v>622</v>
      </c>
      <c r="C31" s="287" t="b">
        <v>1</v>
      </c>
      <c r="D31" s="173"/>
      <c r="E31" s="1" t="str" cm="1">
        <f t="array" ref="E31">_xlfn.IFS(C31= TRUE, "English (including composition)|",C31=FALSE, " ")</f>
        <v>English (including composition)|</v>
      </c>
    </row>
    <row r="32" spans="1:5" ht="12.75" x14ac:dyDescent="0.2">
      <c r="A32" s="141"/>
      <c r="B32" s="51" t="s">
        <v>621</v>
      </c>
      <c r="C32" s="287" t="b">
        <v>1</v>
      </c>
      <c r="D32" s="173"/>
      <c r="E32" s="1" t="str" cm="1">
        <f t="array" ref="E32">_xlfn.IFS(C32= TRUE, "Foreign languages|",C32=FALSE, " ")</f>
        <v>Foreign languages|</v>
      </c>
    </row>
    <row r="33" spans="1:5" ht="12.75" x14ac:dyDescent="0.2">
      <c r="A33" s="141"/>
      <c r="B33" s="51" t="s">
        <v>262</v>
      </c>
      <c r="C33" s="287" t="b">
        <v>0</v>
      </c>
      <c r="D33" s="173"/>
      <c r="E33" s="1" t="str" cm="1">
        <f t="array" ref="E33">_xlfn.IFS(C33= TRUE, "History|",C33=FALSE, " ")</f>
        <v xml:space="preserve"> </v>
      </c>
    </row>
    <row r="34" spans="1:5" ht="12.75" x14ac:dyDescent="0.2">
      <c r="A34" s="141"/>
      <c r="B34" s="51" t="s">
        <v>620</v>
      </c>
      <c r="C34" s="287" t="b">
        <v>1</v>
      </c>
      <c r="D34" s="173"/>
      <c r="E34" s="1" t="str" cm="1">
        <f t="array" ref="E34">_xlfn.IFS(C34= TRUE, "Humanities|",C34=FALSE, " ")</f>
        <v>Humanities|</v>
      </c>
    </row>
    <row r="35" spans="1:5" ht="12.75" x14ac:dyDescent="0.2">
      <c r="A35" s="141"/>
      <c r="B35" s="51" t="s">
        <v>1546</v>
      </c>
      <c r="C35" s="287" t="b">
        <v>0</v>
      </c>
      <c r="D35" s="173"/>
      <c r="E35" s="1" t="str" cm="1">
        <f t="array" ref="E35">_xlfn.IFS(C35= TRUE, "Intensive writing|",C35=FALSE, " ")</f>
        <v xml:space="preserve"> </v>
      </c>
    </row>
    <row r="36" spans="1:5" ht="12.75" x14ac:dyDescent="0.2">
      <c r="A36" s="141"/>
      <c r="B36" s="51" t="s">
        <v>619</v>
      </c>
      <c r="C36" s="287" t="b">
        <v>0</v>
      </c>
      <c r="D36" s="173"/>
      <c r="E36" s="1" t="str" cm="1">
        <f t="array" ref="E36">_xlfn.IFS(C36= TRUE, "Mathematics|",C36=FALSE, " ")</f>
        <v xml:space="preserve"> </v>
      </c>
    </row>
    <row r="37" spans="1:5" ht="12.75" x14ac:dyDescent="0.2">
      <c r="A37" s="141"/>
      <c r="B37" s="51" t="s">
        <v>618</v>
      </c>
      <c r="C37" s="287" t="b">
        <v>0</v>
      </c>
      <c r="D37" s="173"/>
      <c r="E37" s="1" t="str" cm="1">
        <f t="array" ref="E37">_xlfn.IFS(C37= TRUE, "Philosophy|",C37=FALSE, " ")</f>
        <v xml:space="preserve"> </v>
      </c>
    </row>
    <row r="38" spans="1:5" ht="12.75" x14ac:dyDescent="0.2">
      <c r="A38" s="141"/>
      <c r="B38" s="51" t="s">
        <v>1545</v>
      </c>
      <c r="C38" s="287" t="b">
        <v>0</v>
      </c>
      <c r="D38" s="173"/>
      <c r="E38" s="1" t="str" cm="1">
        <f t="array" ref="E38">_xlfn.IFS(C38= TRUE, "Physical Education|",C38=FALSE, " ")</f>
        <v xml:space="preserve"> </v>
      </c>
    </row>
    <row r="39" spans="1:5" ht="12.75" x14ac:dyDescent="0.2">
      <c r="A39" s="141"/>
      <c r="B39" s="51" t="s">
        <v>617</v>
      </c>
      <c r="C39" s="287" t="b">
        <v>1</v>
      </c>
      <c r="D39" s="173"/>
      <c r="E39" s="1" t="str" cm="1">
        <f t="array" ref="E39">_xlfn.IFS(C39= TRUE, "Sciences (biological or physical)|",C39=FALSE, " ")</f>
        <v>Sciences (biological or physical)|</v>
      </c>
    </row>
    <row r="40" spans="1:5" ht="12.75" x14ac:dyDescent="0.2">
      <c r="A40" s="141"/>
      <c r="B40" s="51" t="s">
        <v>616</v>
      </c>
      <c r="C40" s="287" t="b">
        <v>1</v>
      </c>
      <c r="D40" s="173"/>
      <c r="E40" s="1" t="str" cm="1">
        <f t="array" ref="E40">_xlfn.IFS(C40= TRUE, "Social science|",C40=FALSE, " ")</f>
        <v>Social science|</v>
      </c>
    </row>
    <row r="41" spans="1:5" ht="12.75" x14ac:dyDescent="0.2">
      <c r="A41" s="141"/>
      <c r="B41" s="51" t="s">
        <v>615</v>
      </c>
      <c r="C41" s="287" t="b">
        <v>1</v>
      </c>
      <c r="D41" s="173"/>
      <c r="E41" s="1" t="str" cm="1">
        <f t="array" ref="E41">_xlfn.IFS(C41= TRUE, "Other|",C41=FALSE, " ")</f>
        <v>Other|</v>
      </c>
    </row>
    <row r="42" spans="1:5" ht="26.1" customHeight="1" x14ac:dyDescent="0.2">
      <c r="B42" s="751" t="s">
        <v>1986</v>
      </c>
      <c r="C42" s="751"/>
      <c r="D42" s="188"/>
    </row>
    <row r="43" spans="1:5" ht="12.75" x14ac:dyDescent="0.2"/>
    <row r="44" spans="1:5" ht="12.75" x14ac:dyDescent="0.2"/>
    <row r="45" spans="1:5" ht="12.75" x14ac:dyDescent="0.2">
      <c r="B45" s="226"/>
      <c r="C45" s="226"/>
      <c r="D45" s="226"/>
    </row>
    <row r="46" spans="1:5" ht="12.75" x14ac:dyDescent="0.2">
      <c r="B46" s="226"/>
      <c r="C46" s="226"/>
      <c r="D46" s="226"/>
    </row>
    <row r="47" spans="1:5" ht="12.75" x14ac:dyDescent="0.2">
      <c r="B47" s="226"/>
      <c r="C47" s="226"/>
      <c r="D47" s="226"/>
    </row>
    <row r="48" spans="1:5" ht="12.75" x14ac:dyDescent="0.2">
      <c r="B48" s="226"/>
      <c r="C48" s="226"/>
      <c r="D48" s="226"/>
    </row>
    <row r="49" spans="2:4" ht="15.75" x14ac:dyDescent="0.2">
      <c r="B49" s="288"/>
      <c r="C49" s="226"/>
      <c r="D49" s="226"/>
    </row>
    <row r="50" spans="2:4" ht="12.75" x14ac:dyDescent="0.2"/>
  </sheetData>
  <sheetProtection algorithmName="SHA-512" hashValue="JoGoP4bFw2wNsHjYnEiOPWAyXajQYQwvFio/RkvN8oh2WqfXu5jQmjM/tcNg+qyCfKvdx9bf0wep+LM3CRPRkw==" saltValue="1uyWhaBuU9e7y2cAV2dx0g==" spinCount="100000" sheet="1" objects="1" scenarios="1"/>
  <mergeCells count="4">
    <mergeCell ref="A1:C1"/>
    <mergeCell ref="B3:C3"/>
    <mergeCell ref="B42:C42"/>
    <mergeCell ref="B24:C24"/>
  </mergeCells>
  <pageMargins left="0.75" right="0.75" top="1" bottom="1" header="0.5" footer="0.5"/>
  <pageSetup scale="75" orientation="portrait" r:id="rId1"/>
  <headerFooter alignWithMargins="0">
    <oddHeader>&amp;LCommon Data Set 2022-2023</oddHeader>
    <oddFooter>&amp;C&amp;A&amp;RPage &amp;P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5362" r:id="rId4" name="Check Box 2">
              <controlPr defaultSize="0" autoFill="0" autoLine="0" autoPict="0" altText="Accelerated program_x000a_">
                <anchor moveWithCells="1">
                  <from>
                    <xdr:col>0</xdr:col>
                    <xdr:colOff>76200</xdr:colOff>
                    <xdr:row>4</xdr:row>
                    <xdr:rowOff>0</xdr:rowOff>
                  </from>
                  <to>
                    <xdr:col>1</xdr:col>
                    <xdr:colOff>0</xdr:colOff>
                    <xdr:row>5</xdr:row>
                    <xdr:rowOff>66675</xdr:rowOff>
                  </to>
                </anchor>
              </controlPr>
            </control>
          </mc:Choice>
        </mc:AlternateContent>
        <mc:AlternateContent xmlns:mc="http://schemas.openxmlformats.org/markup-compatibility/2006">
          <mc:Choice Requires="x14">
            <control shapeId="15363" r:id="rId5" name="Check Box 3">
              <controlPr defaultSize="0" autoFill="0" autoLine="0" autoPict="0" altText="">
                <anchor moveWithCells="1">
                  <from>
                    <xdr:col>0</xdr:col>
                    <xdr:colOff>76200</xdr:colOff>
                    <xdr:row>5</xdr:row>
                    <xdr:rowOff>38100</xdr:rowOff>
                  </from>
                  <to>
                    <xdr:col>1</xdr:col>
                    <xdr:colOff>28575</xdr:colOff>
                    <xdr:row>5</xdr:row>
                    <xdr:rowOff>266700</xdr:rowOff>
                  </to>
                </anchor>
              </controlPr>
            </control>
          </mc:Choice>
        </mc:AlternateContent>
        <mc:AlternateContent xmlns:mc="http://schemas.openxmlformats.org/markup-compatibility/2006">
          <mc:Choice Requires="x14">
            <control shapeId="15364" r:id="rId6" name="Check Box 4">
              <controlPr defaultSize="0" autoFill="0" autoLine="0" autoPict="0" altText="Cross-registration">
                <anchor moveWithCells="1">
                  <from>
                    <xdr:col>0</xdr:col>
                    <xdr:colOff>76200</xdr:colOff>
                    <xdr:row>5</xdr:row>
                    <xdr:rowOff>295275</xdr:rowOff>
                  </from>
                  <to>
                    <xdr:col>1</xdr:col>
                    <xdr:colOff>0</xdr:colOff>
                    <xdr:row>7</xdr:row>
                    <xdr:rowOff>28575</xdr:rowOff>
                  </to>
                </anchor>
              </controlPr>
            </control>
          </mc:Choice>
        </mc:AlternateContent>
        <mc:AlternateContent xmlns:mc="http://schemas.openxmlformats.org/markup-compatibility/2006">
          <mc:Choice Requires="x14">
            <control shapeId="15365" r:id="rId7" name="Check Box 5">
              <controlPr defaultSize="0" autoFill="0" autoLine="0" autoPict="0" altText="Distance learning">
                <anchor moveWithCells="1">
                  <from>
                    <xdr:col>0</xdr:col>
                    <xdr:colOff>76200</xdr:colOff>
                    <xdr:row>6</xdr:row>
                    <xdr:rowOff>142875</xdr:rowOff>
                  </from>
                  <to>
                    <xdr:col>1</xdr:col>
                    <xdr:colOff>9525</xdr:colOff>
                    <xdr:row>8</xdr:row>
                    <xdr:rowOff>38100</xdr:rowOff>
                  </to>
                </anchor>
              </controlPr>
            </control>
          </mc:Choice>
        </mc:AlternateContent>
        <mc:AlternateContent xmlns:mc="http://schemas.openxmlformats.org/markup-compatibility/2006">
          <mc:Choice Requires="x14">
            <control shapeId="15366" r:id="rId8" name="Check Box 6">
              <controlPr defaultSize="0" autoFill="0" autoLine="0" autoPict="0" altText="Double major">
                <anchor moveWithCells="1">
                  <from>
                    <xdr:col>0</xdr:col>
                    <xdr:colOff>76200</xdr:colOff>
                    <xdr:row>7</xdr:row>
                    <xdr:rowOff>123825</xdr:rowOff>
                  </from>
                  <to>
                    <xdr:col>1</xdr:col>
                    <xdr:colOff>0</xdr:colOff>
                    <xdr:row>9</xdr:row>
                    <xdr:rowOff>38100</xdr:rowOff>
                  </to>
                </anchor>
              </controlPr>
            </control>
          </mc:Choice>
        </mc:AlternateContent>
        <mc:AlternateContent xmlns:mc="http://schemas.openxmlformats.org/markup-compatibility/2006">
          <mc:Choice Requires="x14">
            <control shapeId="15367" r:id="rId9" name="Check Box 7">
              <controlPr defaultSize="0" autoFill="0" autoLine="0" autoPict="0" altText="Dual enrollment">
                <anchor moveWithCells="1">
                  <from>
                    <xdr:col>0</xdr:col>
                    <xdr:colOff>76200</xdr:colOff>
                    <xdr:row>8</xdr:row>
                    <xdr:rowOff>142875</xdr:rowOff>
                  </from>
                  <to>
                    <xdr:col>1</xdr:col>
                    <xdr:colOff>38100</xdr:colOff>
                    <xdr:row>10</xdr:row>
                    <xdr:rowOff>28575</xdr:rowOff>
                  </to>
                </anchor>
              </controlPr>
            </control>
          </mc:Choice>
        </mc:AlternateContent>
        <mc:AlternateContent xmlns:mc="http://schemas.openxmlformats.org/markup-compatibility/2006">
          <mc:Choice Requires="x14">
            <control shapeId="15368" r:id="rId10" name="Check Box 8">
              <controlPr defaultSize="0" autoFill="0" autoLine="0" autoPict="0" altText="English as a Second Language (ESL)">
                <anchor moveWithCells="1">
                  <from>
                    <xdr:col>0</xdr:col>
                    <xdr:colOff>76200</xdr:colOff>
                    <xdr:row>9</xdr:row>
                    <xdr:rowOff>123825</xdr:rowOff>
                  </from>
                  <to>
                    <xdr:col>1</xdr:col>
                    <xdr:colOff>85725</xdr:colOff>
                    <xdr:row>11</xdr:row>
                    <xdr:rowOff>47625</xdr:rowOff>
                  </to>
                </anchor>
              </controlPr>
            </control>
          </mc:Choice>
        </mc:AlternateContent>
        <mc:AlternateContent xmlns:mc="http://schemas.openxmlformats.org/markup-compatibility/2006">
          <mc:Choice Requires="x14">
            <control shapeId="15369" r:id="rId11" name="Check Box 9">
              <controlPr defaultSize="0" autoFill="0" autoLine="0" autoPict="0" altText="Exchange student program (domestic)">
                <anchor moveWithCells="1">
                  <from>
                    <xdr:col>0</xdr:col>
                    <xdr:colOff>76200</xdr:colOff>
                    <xdr:row>10</xdr:row>
                    <xdr:rowOff>142875</xdr:rowOff>
                  </from>
                  <to>
                    <xdr:col>1</xdr:col>
                    <xdr:colOff>28575</xdr:colOff>
                    <xdr:row>12</xdr:row>
                    <xdr:rowOff>38100</xdr:rowOff>
                  </to>
                </anchor>
              </controlPr>
            </control>
          </mc:Choice>
        </mc:AlternateContent>
        <mc:AlternateContent xmlns:mc="http://schemas.openxmlformats.org/markup-compatibility/2006">
          <mc:Choice Requires="x14">
            <control shapeId="15370" r:id="rId12" name="Check Box 10">
              <controlPr locked="0" defaultSize="0" autoFill="0" autoLine="0" autoPict="0">
                <anchor moveWithCells="1" sizeWithCells="1">
                  <from>
                    <xdr:col>0</xdr:col>
                    <xdr:colOff>76200</xdr:colOff>
                    <xdr:row>11</xdr:row>
                    <xdr:rowOff>123825</xdr:rowOff>
                  </from>
                  <to>
                    <xdr:col>1</xdr:col>
                    <xdr:colOff>114300</xdr:colOff>
                    <xdr:row>13</xdr:row>
                    <xdr:rowOff>47625</xdr:rowOff>
                  </to>
                </anchor>
              </controlPr>
            </control>
          </mc:Choice>
        </mc:AlternateContent>
        <mc:AlternateContent xmlns:mc="http://schemas.openxmlformats.org/markup-compatibility/2006">
          <mc:Choice Requires="x14">
            <control shapeId="15371" r:id="rId13" name="Check Box 11">
              <controlPr defaultSize="0" autoFill="0" autoLine="0" autoPict="0">
                <anchor moveWithCells="1">
                  <from>
                    <xdr:col>0</xdr:col>
                    <xdr:colOff>76200</xdr:colOff>
                    <xdr:row>12</xdr:row>
                    <xdr:rowOff>123825</xdr:rowOff>
                  </from>
                  <to>
                    <xdr:col>1</xdr:col>
                    <xdr:colOff>114300</xdr:colOff>
                    <xdr:row>14</xdr:row>
                    <xdr:rowOff>38100</xdr:rowOff>
                  </to>
                </anchor>
              </controlPr>
            </control>
          </mc:Choice>
        </mc:AlternateContent>
        <mc:AlternateContent xmlns:mc="http://schemas.openxmlformats.org/markup-compatibility/2006">
          <mc:Choice Requires="x14">
            <control shapeId="15372" r:id="rId14" name="Check Box 12">
              <controlPr defaultSize="0" autoFill="0" autoLine="0" autoPict="0">
                <anchor moveWithCells="1">
                  <from>
                    <xdr:col>0</xdr:col>
                    <xdr:colOff>76200</xdr:colOff>
                    <xdr:row>13</xdr:row>
                    <xdr:rowOff>123825</xdr:rowOff>
                  </from>
                  <to>
                    <xdr:col>1</xdr:col>
                    <xdr:colOff>0</xdr:colOff>
                    <xdr:row>15</xdr:row>
                    <xdr:rowOff>28575</xdr:rowOff>
                  </to>
                </anchor>
              </controlPr>
            </control>
          </mc:Choice>
        </mc:AlternateContent>
        <mc:AlternateContent xmlns:mc="http://schemas.openxmlformats.org/markup-compatibility/2006">
          <mc:Choice Requires="x14">
            <control shapeId="15373" r:id="rId15" name="Check Box 13">
              <controlPr defaultSize="0" autoFill="0" autoLine="0" autoPict="0">
                <anchor moveWithCells="1">
                  <from>
                    <xdr:col>0</xdr:col>
                    <xdr:colOff>76200</xdr:colOff>
                    <xdr:row>14</xdr:row>
                    <xdr:rowOff>123825</xdr:rowOff>
                  </from>
                  <to>
                    <xdr:col>1</xdr:col>
                    <xdr:colOff>38100</xdr:colOff>
                    <xdr:row>16</xdr:row>
                    <xdr:rowOff>28575</xdr:rowOff>
                  </to>
                </anchor>
              </controlPr>
            </control>
          </mc:Choice>
        </mc:AlternateContent>
        <mc:AlternateContent xmlns:mc="http://schemas.openxmlformats.org/markup-compatibility/2006">
          <mc:Choice Requires="x14">
            <control shapeId="15374" r:id="rId16" name="Check Box 14">
              <controlPr defaultSize="0" autoFill="0" autoLine="0" autoPict="0">
                <anchor moveWithCells="1">
                  <from>
                    <xdr:col>0</xdr:col>
                    <xdr:colOff>76200</xdr:colOff>
                    <xdr:row>15</xdr:row>
                    <xdr:rowOff>123825</xdr:rowOff>
                  </from>
                  <to>
                    <xdr:col>1</xdr:col>
                    <xdr:colOff>85725</xdr:colOff>
                    <xdr:row>17</xdr:row>
                    <xdr:rowOff>28575</xdr:rowOff>
                  </to>
                </anchor>
              </controlPr>
            </control>
          </mc:Choice>
        </mc:AlternateContent>
        <mc:AlternateContent xmlns:mc="http://schemas.openxmlformats.org/markup-compatibility/2006">
          <mc:Choice Requires="x14">
            <control shapeId="15375" r:id="rId17" name="Check Box 15">
              <controlPr defaultSize="0" autoFill="0" autoLine="0" autoPict="0">
                <anchor moveWithCells="1">
                  <from>
                    <xdr:col>0</xdr:col>
                    <xdr:colOff>76200</xdr:colOff>
                    <xdr:row>16</xdr:row>
                    <xdr:rowOff>123825</xdr:rowOff>
                  </from>
                  <to>
                    <xdr:col>1</xdr:col>
                    <xdr:colOff>38100</xdr:colOff>
                    <xdr:row>18</xdr:row>
                    <xdr:rowOff>38100</xdr:rowOff>
                  </to>
                </anchor>
              </controlPr>
            </control>
          </mc:Choice>
        </mc:AlternateContent>
        <mc:AlternateContent xmlns:mc="http://schemas.openxmlformats.org/markup-compatibility/2006">
          <mc:Choice Requires="x14">
            <control shapeId="15376" r:id="rId18" name="Check Box 16">
              <controlPr defaultSize="0" autoFill="0" autoLine="0" autoPict="0">
                <anchor moveWithCells="1">
                  <from>
                    <xdr:col>0</xdr:col>
                    <xdr:colOff>76200</xdr:colOff>
                    <xdr:row>17</xdr:row>
                    <xdr:rowOff>142875</xdr:rowOff>
                  </from>
                  <to>
                    <xdr:col>1</xdr:col>
                    <xdr:colOff>28575</xdr:colOff>
                    <xdr:row>19</xdr:row>
                    <xdr:rowOff>38100</xdr:rowOff>
                  </to>
                </anchor>
              </controlPr>
            </control>
          </mc:Choice>
        </mc:AlternateContent>
        <mc:AlternateContent xmlns:mc="http://schemas.openxmlformats.org/markup-compatibility/2006">
          <mc:Choice Requires="x14">
            <control shapeId="15377" r:id="rId19" name="Check Box 17">
              <controlPr defaultSize="0" autoFill="0" autoLine="0" autoPict="0">
                <anchor moveWithCells="1">
                  <from>
                    <xdr:col>0</xdr:col>
                    <xdr:colOff>76200</xdr:colOff>
                    <xdr:row>18</xdr:row>
                    <xdr:rowOff>123825</xdr:rowOff>
                  </from>
                  <to>
                    <xdr:col>1</xdr:col>
                    <xdr:colOff>76200</xdr:colOff>
                    <xdr:row>20</xdr:row>
                    <xdr:rowOff>38100</xdr:rowOff>
                  </to>
                </anchor>
              </controlPr>
            </control>
          </mc:Choice>
        </mc:AlternateContent>
        <mc:AlternateContent xmlns:mc="http://schemas.openxmlformats.org/markup-compatibility/2006">
          <mc:Choice Requires="x14">
            <control shapeId="15378" r:id="rId20" name="Check Box 18">
              <controlPr defaultSize="0" autoFill="0" autoLine="0" autoPict="0">
                <anchor moveWithCells="1">
                  <from>
                    <xdr:col>0</xdr:col>
                    <xdr:colOff>76200</xdr:colOff>
                    <xdr:row>19</xdr:row>
                    <xdr:rowOff>142875</xdr:rowOff>
                  </from>
                  <to>
                    <xdr:col>1</xdr:col>
                    <xdr:colOff>190500</xdr:colOff>
                    <xdr:row>21</xdr:row>
                    <xdr:rowOff>38100</xdr:rowOff>
                  </to>
                </anchor>
              </controlPr>
            </control>
          </mc:Choice>
        </mc:AlternateContent>
        <mc:AlternateContent xmlns:mc="http://schemas.openxmlformats.org/markup-compatibility/2006">
          <mc:Choice Requires="x14">
            <control shapeId="15379" r:id="rId21" name="Check Box 19">
              <controlPr defaultSize="0" autoFill="0" autoLine="0" autoPict="0">
                <anchor moveWithCells="1">
                  <from>
                    <xdr:col>0</xdr:col>
                    <xdr:colOff>76200</xdr:colOff>
                    <xdr:row>21</xdr:row>
                    <xdr:rowOff>152400</xdr:rowOff>
                  </from>
                  <to>
                    <xdr:col>1</xdr:col>
                    <xdr:colOff>28575</xdr:colOff>
                    <xdr:row>23</xdr:row>
                    <xdr:rowOff>47625</xdr:rowOff>
                  </to>
                </anchor>
              </controlPr>
            </control>
          </mc:Choice>
        </mc:AlternateContent>
        <mc:AlternateContent xmlns:mc="http://schemas.openxmlformats.org/markup-compatibility/2006">
          <mc:Choice Requires="x14">
            <control shapeId="15380" r:id="rId22" name="Check Box 20">
              <controlPr locked="0" defaultSize="0" autoFill="0" autoLine="0" autoPict="0" altText="">
                <anchor moveWithCells="1">
                  <from>
                    <xdr:col>0</xdr:col>
                    <xdr:colOff>47625</xdr:colOff>
                    <xdr:row>27</xdr:row>
                    <xdr:rowOff>381000</xdr:rowOff>
                  </from>
                  <to>
                    <xdr:col>1</xdr:col>
                    <xdr:colOff>1676400</xdr:colOff>
                    <xdr:row>29</xdr:row>
                    <xdr:rowOff>9525</xdr:rowOff>
                  </to>
                </anchor>
              </controlPr>
            </control>
          </mc:Choice>
        </mc:AlternateContent>
        <mc:AlternateContent xmlns:mc="http://schemas.openxmlformats.org/markup-compatibility/2006">
          <mc:Choice Requires="x14">
            <control shapeId="15381" r:id="rId23" name="Check Box 21">
              <controlPr defaultSize="0" autoFill="0" autoLine="0" autoPict="0">
                <anchor moveWithCells="1">
                  <from>
                    <xdr:col>0</xdr:col>
                    <xdr:colOff>47625</xdr:colOff>
                    <xdr:row>28</xdr:row>
                    <xdr:rowOff>142875</xdr:rowOff>
                  </from>
                  <to>
                    <xdr:col>1</xdr:col>
                    <xdr:colOff>38100</xdr:colOff>
                    <xdr:row>30</xdr:row>
                    <xdr:rowOff>38100</xdr:rowOff>
                  </to>
                </anchor>
              </controlPr>
            </control>
          </mc:Choice>
        </mc:AlternateContent>
        <mc:AlternateContent xmlns:mc="http://schemas.openxmlformats.org/markup-compatibility/2006">
          <mc:Choice Requires="x14">
            <control shapeId="15382" r:id="rId24" name="Check Box 22">
              <controlPr defaultSize="0" autoFill="0" autoLine="0" autoPict="0">
                <anchor moveWithCells="1">
                  <from>
                    <xdr:col>0</xdr:col>
                    <xdr:colOff>47625</xdr:colOff>
                    <xdr:row>30</xdr:row>
                    <xdr:rowOff>0</xdr:rowOff>
                  </from>
                  <to>
                    <xdr:col>1</xdr:col>
                    <xdr:colOff>1485900</xdr:colOff>
                    <xdr:row>31</xdr:row>
                    <xdr:rowOff>0</xdr:rowOff>
                  </to>
                </anchor>
              </controlPr>
            </control>
          </mc:Choice>
        </mc:AlternateContent>
        <mc:AlternateContent xmlns:mc="http://schemas.openxmlformats.org/markup-compatibility/2006">
          <mc:Choice Requires="x14">
            <control shapeId="15383" r:id="rId25" name="Check Box 23">
              <controlPr defaultSize="0" autoFill="0" autoLine="0" autoPict="0">
                <anchor moveWithCells="1">
                  <from>
                    <xdr:col>0</xdr:col>
                    <xdr:colOff>47625</xdr:colOff>
                    <xdr:row>31</xdr:row>
                    <xdr:rowOff>0</xdr:rowOff>
                  </from>
                  <to>
                    <xdr:col>1</xdr:col>
                    <xdr:colOff>1600200</xdr:colOff>
                    <xdr:row>32</xdr:row>
                    <xdr:rowOff>0</xdr:rowOff>
                  </to>
                </anchor>
              </controlPr>
            </control>
          </mc:Choice>
        </mc:AlternateContent>
        <mc:AlternateContent xmlns:mc="http://schemas.openxmlformats.org/markup-compatibility/2006">
          <mc:Choice Requires="x14">
            <control shapeId="15384" r:id="rId26" name="Check Box 24">
              <controlPr defaultSize="0" autoFill="0" autoLine="0" autoPict="0">
                <anchor moveWithCells="1">
                  <from>
                    <xdr:col>0</xdr:col>
                    <xdr:colOff>47625</xdr:colOff>
                    <xdr:row>32</xdr:row>
                    <xdr:rowOff>0</xdr:rowOff>
                  </from>
                  <to>
                    <xdr:col>1</xdr:col>
                    <xdr:colOff>1552575</xdr:colOff>
                    <xdr:row>33</xdr:row>
                    <xdr:rowOff>0</xdr:rowOff>
                  </to>
                </anchor>
              </controlPr>
            </control>
          </mc:Choice>
        </mc:AlternateContent>
        <mc:AlternateContent xmlns:mc="http://schemas.openxmlformats.org/markup-compatibility/2006">
          <mc:Choice Requires="x14">
            <control shapeId="15385" r:id="rId27" name="Check Box 25">
              <controlPr defaultSize="0" autoFill="0" autoLine="0" autoPict="0">
                <anchor moveWithCells="1">
                  <from>
                    <xdr:col>0</xdr:col>
                    <xdr:colOff>47625</xdr:colOff>
                    <xdr:row>33</xdr:row>
                    <xdr:rowOff>0</xdr:rowOff>
                  </from>
                  <to>
                    <xdr:col>1</xdr:col>
                    <xdr:colOff>1066800</xdr:colOff>
                    <xdr:row>34</xdr:row>
                    <xdr:rowOff>0</xdr:rowOff>
                  </to>
                </anchor>
              </controlPr>
            </control>
          </mc:Choice>
        </mc:AlternateContent>
        <mc:AlternateContent xmlns:mc="http://schemas.openxmlformats.org/markup-compatibility/2006">
          <mc:Choice Requires="x14">
            <control shapeId="15386" r:id="rId28" name="Check Box 26">
              <controlPr defaultSize="0" autoFill="0" autoLine="0" autoPict="0">
                <anchor moveWithCells="1">
                  <from>
                    <xdr:col>0</xdr:col>
                    <xdr:colOff>47625</xdr:colOff>
                    <xdr:row>35</xdr:row>
                    <xdr:rowOff>0</xdr:rowOff>
                  </from>
                  <to>
                    <xdr:col>1</xdr:col>
                    <xdr:colOff>1819275</xdr:colOff>
                    <xdr:row>36</xdr:row>
                    <xdr:rowOff>0</xdr:rowOff>
                  </to>
                </anchor>
              </controlPr>
            </control>
          </mc:Choice>
        </mc:AlternateContent>
        <mc:AlternateContent xmlns:mc="http://schemas.openxmlformats.org/markup-compatibility/2006">
          <mc:Choice Requires="x14">
            <control shapeId="15387" r:id="rId29" name="Check Box 27">
              <controlPr defaultSize="0" autoFill="0" autoLine="0" autoPict="0">
                <anchor moveWithCells="1">
                  <from>
                    <xdr:col>0</xdr:col>
                    <xdr:colOff>47625</xdr:colOff>
                    <xdr:row>36</xdr:row>
                    <xdr:rowOff>0</xdr:rowOff>
                  </from>
                  <to>
                    <xdr:col>1</xdr:col>
                    <xdr:colOff>1371600</xdr:colOff>
                    <xdr:row>37</xdr:row>
                    <xdr:rowOff>0</xdr:rowOff>
                  </to>
                </anchor>
              </controlPr>
            </control>
          </mc:Choice>
        </mc:AlternateContent>
        <mc:AlternateContent xmlns:mc="http://schemas.openxmlformats.org/markup-compatibility/2006">
          <mc:Choice Requires="x14">
            <control shapeId="15388" r:id="rId30" name="Check Box 28">
              <controlPr defaultSize="0" autoFill="0" autoLine="0" autoPict="0">
                <anchor moveWithCells="1">
                  <from>
                    <xdr:col>0</xdr:col>
                    <xdr:colOff>47625</xdr:colOff>
                    <xdr:row>38</xdr:row>
                    <xdr:rowOff>0</xdr:rowOff>
                  </from>
                  <to>
                    <xdr:col>1</xdr:col>
                    <xdr:colOff>2181225</xdr:colOff>
                    <xdr:row>39</xdr:row>
                    <xdr:rowOff>0</xdr:rowOff>
                  </to>
                </anchor>
              </controlPr>
            </control>
          </mc:Choice>
        </mc:AlternateContent>
        <mc:AlternateContent xmlns:mc="http://schemas.openxmlformats.org/markup-compatibility/2006">
          <mc:Choice Requires="x14">
            <control shapeId="15389" r:id="rId31" name="Check Box 29">
              <controlPr defaultSize="0" autoFill="0" autoLine="0" autoPict="0">
                <anchor moveWithCells="1">
                  <from>
                    <xdr:col>0</xdr:col>
                    <xdr:colOff>47625</xdr:colOff>
                    <xdr:row>39</xdr:row>
                    <xdr:rowOff>0</xdr:rowOff>
                  </from>
                  <to>
                    <xdr:col>1</xdr:col>
                    <xdr:colOff>2447925</xdr:colOff>
                    <xdr:row>40</xdr:row>
                    <xdr:rowOff>0</xdr:rowOff>
                  </to>
                </anchor>
              </controlPr>
            </control>
          </mc:Choice>
        </mc:AlternateContent>
        <mc:AlternateContent xmlns:mc="http://schemas.openxmlformats.org/markup-compatibility/2006">
          <mc:Choice Requires="x14">
            <control shapeId="15390" r:id="rId32" name="Check Box 30">
              <controlPr defaultSize="0" autoFill="0" autoLine="0" autoPict="0">
                <anchor moveWithCells="1">
                  <from>
                    <xdr:col>0</xdr:col>
                    <xdr:colOff>47625</xdr:colOff>
                    <xdr:row>40</xdr:row>
                    <xdr:rowOff>0</xdr:rowOff>
                  </from>
                  <to>
                    <xdr:col>1</xdr:col>
                    <xdr:colOff>2371725</xdr:colOff>
                    <xdr:row>41</xdr:row>
                    <xdr:rowOff>0</xdr:rowOff>
                  </to>
                </anchor>
              </controlPr>
            </control>
          </mc:Choice>
        </mc:AlternateContent>
        <mc:AlternateContent xmlns:mc="http://schemas.openxmlformats.org/markup-compatibility/2006">
          <mc:Choice Requires="x14">
            <control shapeId="15391" r:id="rId33" name="Check Box 31">
              <controlPr defaultSize="0" autoFill="0" autoLine="0" autoPict="0">
                <anchor moveWithCells="1">
                  <from>
                    <xdr:col>0</xdr:col>
                    <xdr:colOff>76200</xdr:colOff>
                    <xdr:row>20</xdr:row>
                    <xdr:rowOff>161925</xdr:rowOff>
                  </from>
                  <to>
                    <xdr:col>1</xdr:col>
                    <xdr:colOff>66675</xdr:colOff>
                    <xdr:row>22</xdr:row>
                    <xdr:rowOff>38100</xdr:rowOff>
                  </to>
                </anchor>
              </controlPr>
            </control>
          </mc:Choice>
        </mc:AlternateContent>
        <mc:AlternateContent xmlns:mc="http://schemas.openxmlformats.org/markup-compatibility/2006">
          <mc:Choice Requires="x14">
            <control shapeId="15392" r:id="rId34" name="Check Box 32">
              <controlPr defaultSize="0" autoFill="0" autoLine="0" autoPict="0">
                <anchor moveWithCells="1">
                  <from>
                    <xdr:col>0</xdr:col>
                    <xdr:colOff>47625</xdr:colOff>
                    <xdr:row>33</xdr:row>
                    <xdr:rowOff>161925</xdr:rowOff>
                  </from>
                  <to>
                    <xdr:col>1</xdr:col>
                    <xdr:colOff>28575</xdr:colOff>
                    <xdr:row>35</xdr:row>
                    <xdr:rowOff>9525</xdr:rowOff>
                  </to>
                </anchor>
              </controlPr>
            </control>
          </mc:Choice>
        </mc:AlternateContent>
        <mc:AlternateContent xmlns:mc="http://schemas.openxmlformats.org/markup-compatibility/2006">
          <mc:Choice Requires="x14">
            <control shapeId="15393" r:id="rId35" name="Check Box 33">
              <controlPr defaultSize="0" autoFill="0" autoLine="0" autoPict="0">
                <anchor moveWithCells="1">
                  <from>
                    <xdr:col>0</xdr:col>
                    <xdr:colOff>47625</xdr:colOff>
                    <xdr:row>37</xdr:row>
                    <xdr:rowOff>0</xdr:rowOff>
                  </from>
                  <to>
                    <xdr:col>0</xdr:col>
                    <xdr:colOff>295275</xdr:colOff>
                    <xdr:row>38</xdr:row>
                    <xdr:rowOff>9525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66"/>
  <sheetViews>
    <sheetView showGridLines="0" showRowColHeaders="0" showRuler="0" zoomScaleNormal="100" zoomScalePageLayoutView="115" workbookViewId="0">
      <selection activeCell="B58" sqref="B58"/>
    </sheetView>
  </sheetViews>
  <sheetFormatPr defaultColWidth="0" defaultRowHeight="0" customHeight="1" zeroHeight="1" x14ac:dyDescent="0.2"/>
  <cols>
    <col min="1" max="1" width="3.125" style="2" customWidth="1"/>
    <col min="2" max="2" width="27.625" style="1" customWidth="1"/>
    <col min="3" max="3" width="11.375" style="1" customWidth="1"/>
    <col min="4" max="4" width="11" style="48" customWidth="1"/>
    <col min="5" max="5" width="13.375" style="1" customWidth="1"/>
    <col min="6" max="6" width="16.375" style="1" customWidth="1"/>
    <col min="7" max="7" width="4.625" style="1" customWidth="1"/>
    <col min="8" max="8" width="9.375" style="1" hidden="1" customWidth="1"/>
    <col min="9" max="9" width="6.625" style="1" hidden="1" customWidth="1"/>
    <col min="10" max="10" width="7.5" style="1" hidden="1" customWidth="1"/>
    <col min="11" max="11" width="8.625" style="1" hidden="1" customWidth="1"/>
    <col min="12" max="12" width="42.875" style="1" hidden="1" customWidth="1"/>
    <col min="13" max="13" width="5.375" style="1" hidden="1" customWidth="1"/>
    <col min="14" max="14" width="4.875" style="1" hidden="1" customWidth="1"/>
    <col min="15" max="15" width="6" style="1" hidden="1" customWidth="1"/>
    <col min="16" max="20" width="8.625" style="1" hidden="1" customWidth="1"/>
    <col min="21" max="16378" width="8.625" style="1" customWidth="1"/>
    <col min="16379" max="16379" width="3.125" style="1" customWidth="1"/>
    <col min="16380" max="16380" width="3.625" style="1" customWidth="1"/>
    <col min="16381" max="16381" width="4.625" style="1" customWidth="1"/>
    <col min="16382" max="16382" width="4.375" style="1" customWidth="1"/>
    <col min="16383" max="16384" width="2.625" style="1" customWidth="1"/>
  </cols>
  <sheetData>
    <row r="1" spans="1:12" ht="18" x14ac:dyDescent="0.2">
      <c r="A1" s="559" t="s">
        <v>703</v>
      </c>
      <c r="B1" s="559"/>
      <c r="C1" s="559"/>
      <c r="D1" s="559"/>
      <c r="E1" s="560"/>
      <c r="F1" s="560"/>
    </row>
    <row r="2" spans="1:12" ht="8.25" customHeight="1" x14ac:dyDescent="0.2"/>
    <row r="3" spans="1:12" ht="28.5" customHeight="1" x14ac:dyDescent="0.2">
      <c r="A3" s="3" t="s">
        <v>702</v>
      </c>
      <c r="B3" s="761" t="s">
        <v>1955</v>
      </c>
      <c r="C3" s="761"/>
      <c r="D3" s="761"/>
      <c r="E3" s="762"/>
      <c r="F3" s="762"/>
    </row>
    <row r="4" spans="1:12" ht="37.5" customHeight="1" x14ac:dyDescent="0.2">
      <c r="A4" s="3"/>
      <c r="B4" s="763"/>
      <c r="C4" s="763"/>
      <c r="D4" s="763" t="b">
        <v>0</v>
      </c>
      <c r="E4" s="162" t="s">
        <v>701</v>
      </c>
      <c r="F4" s="161" t="s">
        <v>387</v>
      </c>
    </row>
    <row r="5" spans="1:12" ht="39.75" customHeight="1" x14ac:dyDescent="0.2">
      <c r="A5" s="3"/>
      <c r="B5" s="764" t="s">
        <v>700</v>
      </c>
      <c r="C5" s="765"/>
      <c r="D5" s="765"/>
      <c r="E5" s="276">
        <v>0</v>
      </c>
      <c r="F5" s="277">
        <v>0</v>
      </c>
    </row>
    <row r="6" spans="1:12" ht="12.75" x14ac:dyDescent="0.2">
      <c r="A6" s="3"/>
      <c r="B6" s="764" t="s">
        <v>699</v>
      </c>
      <c r="C6" s="765"/>
      <c r="D6" s="765"/>
      <c r="E6" s="278">
        <v>0</v>
      </c>
      <c r="F6" s="277">
        <v>0</v>
      </c>
    </row>
    <row r="7" spans="1:12" ht="12.75" x14ac:dyDescent="0.2">
      <c r="A7" s="3"/>
      <c r="B7" s="764" t="s">
        <v>698</v>
      </c>
      <c r="C7" s="765"/>
      <c r="D7" s="765"/>
      <c r="E7" s="278">
        <v>0</v>
      </c>
      <c r="F7" s="277">
        <v>0</v>
      </c>
    </row>
    <row r="8" spans="1:12" ht="30" customHeight="1" x14ac:dyDescent="0.2">
      <c r="A8" s="3"/>
      <c r="B8" s="764" t="s">
        <v>697</v>
      </c>
      <c r="C8" s="765"/>
      <c r="D8" s="765"/>
      <c r="E8" s="278">
        <v>0</v>
      </c>
      <c r="F8" s="277">
        <v>0</v>
      </c>
    </row>
    <row r="9" spans="1:12" ht="12.75" x14ac:dyDescent="0.2">
      <c r="A9" s="3"/>
      <c r="B9" s="764" t="s">
        <v>696</v>
      </c>
      <c r="C9" s="765"/>
      <c r="D9" s="765"/>
      <c r="E9" s="278">
        <v>0</v>
      </c>
      <c r="F9" s="277">
        <v>0</v>
      </c>
    </row>
    <row r="10" spans="1:12" ht="12.75" x14ac:dyDescent="0.2">
      <c r="A10" s="3"/>
      <c r="B10" s="764" t="s">
        <v>695</v>
      </c>
      <c r="C10" s="765"/>
      <c r="D10" s="765"/>
      <c r="E10" s="278">
        <v>0</v>
      </c>
      <c r="F10" s="277">
        <v>0</v>
      </c>
    </row>
    <row r="11" spans="1:12" ht="12.75" x14ac:dyDescent="0.2">
      <c r="A11" s="3"/>
      <c r="B11" s="764" t="s">
        <v>694</v>
      </c>
      <c r="C11" s="765"/>
      <c r="D11" s="765"/>
      <c r="E11" s="174">
        <v>0</v>
      </c>
      <c r="F11" s="174">
        <v>0</v>
      </c>
    </row>
    <row r="12" spans="1:12" ht="12.75" x14ac:dyDescent="0.2">
      <c r="A12" s="3"/>
      <c r="B12" s="764" t="s">
        <v>693</v>
      </c>
      <c r="C12" s="765"/>
      <c r="D12" s="765"/>
      <c r="E12" s="174">
        <v>1</v>
      </c>
      <c r="F12" s="174">
        <v>1</v>
      </c>
    </row>
    <row r="13" spans="1:12" ht="9.75" customHeight="1" x14ac:dyDescent="0.2"/>
    <row r="14" spans="1:12" ht="12.75" x14ac:dyDescent="0.2">
      <c r="A14" s="3" t="s">
        <v>692</v>
      </c>
      <c r="B14" s="755" t="s">
        <v>691</v>
      </c>
      <c r="C14" s="561"/>
      <c r="D14" s="561"/>
      <c r="E14" s="555"/>
      <c r="F14" s="555"/>
    </row>
    <row r="15" spans="1:12" ht="12.75" x14ac:dyDescent="0.2">
      <c r="B15" s="24"/>
      <c r="C15" s="5"/>
      <c r="D15" s="80"/>
      <c r="E15" s="35"/>
      <c r="F15" s="35"/>
    </row>
    <row r="16" spans="1:12" ht="15.95" customHeight="1" x14ac:dyDescent="0.2">
      <c r="A16" s="3"/>
      <c r="B16" s="160" t="s">
        <v>690</v>
      </c>
      <c r="C16" s="12"/>
      <c r="D16" s="279" t="b">
        <v>1</v>
      </c>
      <c r="E16" s="35"/>
      <c r="F16" s="35"/>
      <c r="L16" s="1" t="str" cm="1">
        <f t="array" ref="L16">_xlfn.IFS($D$16=TRUE, "Campus Ministries|", $D$16=FALSE, "")</f>
        <v>Campus Ministries|</v>
      </c>
    </row>
    <row r="17" spans="1:12" ht="15.95" customHeight="1" x14ac:dyDescent="0.2">
      <c r="A17" s="60"/>
      <c r="B17" s="5" t="s">
        <v>689</v>
      </c>
      <c r="C17" s="12"/>
      <c r="D17" s="260" t="b">
        <v>1</v>
      </c>
      <c r="E17" s="35"/>
      <c r="L17" s="35" t="str" cm="1">
        <f t="array" ref="L17">_xlfn.IFS($D$17=TRUE, "Choral groups|", $D$17=FALSE, "")</f>
        <v>Choral groups|</v>
      </c>
    </row>
    <row r="18" spans="1:12" ht="15.95" customHeight="1" x14ac:dyDescent="0.2">
      <c r="A18" s="60"/>
      <c r="B18" s="5" t="s">
        <v>688</v>
      </c>
      <c r="C18" s="12"/>
      <c r="D18" s="260" t="b">
        <v>1</v>
      </c>
      <c r="E18" s="35"/>
      <c r="L18" s="35" t="str" cm="1">
        <f t="array" ref="L18">_xlfn.IFS($D$18=TRUE, "Concert band|", $D$18=FALSE, "")</f>
        <v>Concert band|</v>
      </c>
    </row>
    <row r="19" spans="1:12" ht="15.95" customHeight="1" x14ac:dyDescent="0.2">
      <c r="A19" s="60"/>
      <c r="B19" s="5" t="s">
        <v>687</v>
      </c>
      <c r="C19" s="12"/>
      <c r="D19" s="260" t="b">
        <v>1</v>
      </c>
      <c r="E19" s="35"/>
      <c r="L19" s="35" t="str" cm="1">
        <f t="array" ref="L19">_xlfn.IFS($D$19=TRUE, "Dance|", $D$19=FALSE, "")</f>
        <v>Dance|</v>
      </c>
    </row>
    <row r="20" spans="1:12" ht="15.95" customHeight="1" x14ac:dyDescent="0.2">
      <c r="A20" s="60"/>
      <c r="B20" s="5" t="s">
        <v>686</v>
      </c>
      <c r="C20" s="12"/>
      <c r="D20" s="260" t="b">
        <v>1</v>
      </c>
      <c r="E20" s="35"/>
      <c r="L20" s="35" t="str" cm="1">
        <f t="array" ref="L20">_xlfn.IFS($D$20=TRUE, "Drama/theater|", $D$20=FALSE, "")</f>
        <v>Drama/theater|</v>
      </c>
    </row>
    <row r="21" spans="1:12" ht="15.95" customHeight="1" x14ac:dyDescent="0.2">
      <c r="A21" s="60"/>
      <c r="B21" s="4" t="s">
        <v>685</v>
      </c>
      <c r="C21" s="36"/>
      <c r="D21" s="280" t="b">
        <v>1</v>
      </c>
      <c r="E21" s="35"/>
      <c r="L21" s="35" t="str" cm="1">
        <f t="array" ref="L21">_xlfn.IFS($D$21=TRUE, "International Student Organization|", $D$21=FALSE, "")</f>
        <v>International Student Organization|</v>
      </c>
    </row>
    <row r="22" spans="1:12" ht="15.95" customHeight="1" x14ac:dyDescent="0.2">
      <c r="A22" s="60"/>
      <c r="B22" s="5" t="s">
        <v>684</v>
      </c>
      <c r="C22" s="12"/>
      <c r="D22" s="260" t="b">
        <v>1</v>
      </c>
      <c r="E22" s="35"/>
      <c r="L22" s="35" t="str" cm="1">
        <f t="array" ref="L22">_xlfn.IFS($D$22=TRUE, "Jazz band|", $D$22=FALSE, "")</f>
        <v>Jazz band|</v>
      </c>
    </row>
    <row r="23" spans="1:12" ht="15.95" customHeight="1" x14ac:dyDescent="0.2">
      <c r="A23" s="60"/>
      <c r="B23" s="5" t="s">
        <v>683</v>
      </c>
      <c r="C23" s="12"/>
      <c r="D23" s="260" t="b">
        <v>1</v>
      </c>
      <c r="E23" s="35"/>
      <c r="L23" s="35" t="str" cm="1">
        <f t="array" ref="L23">_xlfn.IFS($D$23=TRUE, "Literary magazine|", $D$23=FALSE, "")</f>
        <v>Literary magazine|</v>
      </c>
    </row>
    <row r="24" spans="1:12" ht="15.95" customHeight="1" x14ac:dyDescent="0.2">
      <c r="A24" s="60"/>
      <c r="B24" s="5" t="s">
        <v>682</v>
      </c>
      <c r="C24" s="12"/>
      <c r="D24" s="260" t="b">
        <v>0</v>
      </c>
      <c r="E24" s="35"/>
      <c r="L24" s="35" t="str" cm="1">
        <f t="array" ref="L24">_xlfn.IFS($D$24=TRUE, "Marching band|", $D$24=FALSE, "")</f>
        <v/>
      </c>
    </row>
    <row r="25" spans="1:12" ht="15.95" customHeight="1" x14ac:dyDescent="0.2">
      <c r="A25" s="60"/>
      <c r="B25" s="5" t="s">
        <v>681</v>
      </c>
      <c r="C25" s="12"/>
      <c r="D25" s="260" t="b">
        <v>0</v>
      </c>
      <c r="E25" s="35"/>
      <c r="L25" s="35" t="str" cm="1">
        <f t="array" ref="L25">_xlfn.IFS($D$25=TRUE, "Model UN|", $D$25=FALSE, "")</f>
        <v/>
      </c>
    </row>
    <row r="26" spans="1:12" ht="15.95" customHeight="1" x14ac:dyDescent="0.2">
      <c r="A26" s="60"/>
      <c r="B26" s="5" t="s">
        <v>680</v>
      </c>
      <c r="C26" s="12"/>
      <c r="D26" s="260" t="b">
        <v>1</v>
      </c>
      <c r="E26" s="35"/>
      <c r="L26" s="35" t="str" cm="1">
        <f t="array" ref="L26">_xlfn.IFS($D$26=TRUE, "Music ensembles|", $D$26=FALSE, "")</f>
        <v>Music ensembles|</v>
      </c>
    </row>
    <row r="27" spans="1:12" ht="15.95" customHeight="1" x14ac:dyDescent="0.2">
      <c r="A27" s="60"/>
      <c r="B27" s="5" t="s">
        <v>679</v>
      </c>
      <c r="C27" s="12"/>
      <c r="D27" s="260" t="b">
        <v>1</v>
      </c>
      <c r="E27" s="35"/>
      <c r="L27" s="35" t="str" cm="1">
        <f t="array" ref="L27">_xlfn.IFS($D$27=TRUE, "Musical theater|", $D$27=FALSE, "")</f>
        <v>Musical theater|</v>
      </c>
    </row>
    <row r="28" spans="1:12" ht="15.95" customHeight="1" x14ac:dyDescent="0.2">
      <c r="A28" s="60"/>
      <c r="B28" s="5" t="s">
        <v>678</v>
      </c>
      <c r="C28" s="12"/>
      <c r="D28" s="260" t="b">
        <v>1</v>
      </c>
      <c r="E28" s="35"/>
      <c r="L28" s="35" t="str" cm="1">
        <f t="array" ref="L28">_xlfn.IFS($D$28=TRUE, "Opera|", $D$28=FALSE, "")</f>
        <v>Opera|</v>
      </c>
    </row>
    <row r="29" spans="1:12" ht="15.95" customHeight="1" x14ac:dyDescent="0.2">
      <c r="A29" s="60"/>
      <c r="B29" s="5" t="s">
        <v>677</v>
      </c>
      <c r="C29" s="12"/>
      <c r="D29" s="260" t="b">
        <v>1</v>
      </c>
      <c r="E29" s="35"/>
      <c r="L29" s="35" t="str" cm="1">
        <f t="array" ref="L29">_xlfn.IFS($D$29=TRUE, "Pep band|", $D$29=FALSE, "")</f>
        <v>Pep band|</v>
      </c>
    </row>
    <row r="30" spans="1:12" ht="15.95" customHeight="1" x14ac:dyDescent="0.2">
      <c r="A30" s="60"/>
      <c r="B30" s="5" t="s">
        <v>676</v>
      </c>
      <c r="C30" s="12"/>
      <c r="D30" s="260" t="b">
        <v>1</v>
      </c>
      <c r="E30" s="35"/>
      <c r="L30" s="35" t="str" cm="1">
        <f t="array" ref="L30">_xlfn.IFS($D$30=TRUE, "Radio station|", $D$30=FALSE, "")</f>
        <v>Radio station|</v>
      </c>
    </row>
    <row r="31" spans="1:12" ht="15.95" customHeight="1" x14ac:dyDescent="0.2">
      <c r="A31" s="60"/>
      <c r="B31" s="5" t="s">
        <v>675</v>
      </c>
      <c r="C31" s="12"/>
      <c r="D31" s="260" t="b">
        <v>1</v>
      </c>
      <c r="E31" s="35"/>
      <c r="L31" s="35" t="str" cm="1">
        <f t="array" ref="L31">_xlfn.IFS($D$31=TRUE, "Student government|", $D$31=FALSE, "")</f>
        <v>Student government|</v>
      </c>
    </row>
    <row r="32" spans="1:12" ht="15.95" customHeight="1" x14ac:dyDescent="0.2">
      <c r="A32" s="60"/>
      <c r="B32" s="5" t="s">
        <v>674</v>
      </c>
      <c r="C32" s="12"/>
      <c r="D32" s="260" t="b">
        <v>1</v>
      </c>
      <c r="E32" s="35"/>
      <c r="L32" s="35" t="str" cm="1">
        <f t="array" ref="L32">_xlfn.IFS($D$32=TRUE, "Student newspaper|", $D$32=FALSE, "")</f>
        <v>Student newspaper|</v>
      </c>
    </row>
    <row r="33" spans="1:13" ht="15.95" customHeight="1" x14ac:dyDescent="0.2">
      <c r="A33" s="60"/>
      <c r="B33" s="5" t="s">
        <v>673</v>
      </c>
      <c r="C33" s="12"/>
      <c r="D33" s="260" t="b">
        <v>1</v>
      </c>
      <c r="E33" s="35"/>
      <c r="L33" s="35" t="str" cm="1">
        <f t="array" ref="L33">_xlfn.IFS($D$33=TRUE, "Student-run film society|", $D$33=FALSE, "")</f>
        <v>Student-run film society|</v>
      </c>
    </row>
    <row r="34" spans="1:13" ht="15.95" customHeight="1" x14ac:dyDescent="0.2">
      <c r="A34" s="60"/>
      <c r="B34" s="5" t="s">
        <v>672</v>
      </c>
      <c r="C34" s="12"/>
      <c r="D34" s="260" t="b">
        <v>1</v>
      </c>
      <c r="E34" s="35"/>
      <c r="L34" s="35" t="str" cm="1">
        <f t="array" ref="L34">_xlfn.IFS($D$34=TRUE, "Symphony orchestra|", $D$34=FALSE, "")</f>
        <v>Symphony orchestra|</v>
      </c>
    </row>
    <row r="35" spans="1:13" ht="15.95" customHeight="1" x14ac:dyDescent="0.2">
      <c r="A35" s="60"/>
      <c r="B35" s="5" t="s">
        <v>671</v>
      </c>
      <c r="C35" s="12"/>
      <c r="D35" s="260" t="b">
        <v>0</v>
      </c>
      <c r="E35" s="35"/>
      <c r="L35" s="35" t="str" cm="1">
        <f t="array" ref="L35">_xlfn.IFS($D$35=TRUE, "Television station|", $D$35=FALSE, "")</f>
        <v/>
      </c>
    </row>
    <row r="36" spans="1:13" ht="15.95" customHeight="1" x14ac:dyDescent="0.2">
      <c r="A36" s="60"/>
      <c r="B36" s="5" t="s">
        <v>670</v>
      </c>
      <c r="C36" s="12"/>
      <c r="D36" s="260" t="b">
        <v>0</v>
      </c>
      <c r="E36" s="35"/>
      <c r="L36" s="35" t="str" cm="1">
        <f t="array" ref="L36">_xlfn.IFS($D$36=TRUE, "Yearbook|", $D$36=FALSE, "")</f>
        <v/>
      </c>
    </row>
    <row r="37" spans="1:13" ht="12.75" customHeight="1" x14ac:dyDescent="0.2"/>
    <row r="38" spans="1:13" ht="12.75" x14ac:dyDescent="0.2">
      <c r="A38" s="3" t="s">
        <v>669</v>
      </c>
      <c r="B38" s="758" t="s">
        <v>668</v>
      </c>
      <c r="C38" s="759"/>
      <c r="D38" s="759"/>
      <c r="E38" s="760"/>
      <c r="F38" s="555"/>
    </row>
    <row r="39" spans="1:13" s="141" customFormat="1" ht="24" customHeight="1" x14ac:dyDescent="0.25">
      <c r="A39" s="3"/>
      <c r="B39" s="14"/>
      <c r="C39" s="140" t="s">
        <v>1547</v>
      </c>
      <c r="D39" s="140" t="s">
        <v>667</v>
      </c>
      <c r="E39" s="159" t="s">
        <v>666</v>
      </c>
      <c r="F39" s="756" t="s">
        <v>665</v>
      </c>
      <c r="G39" s="757"/>
      <c r="H39" s="220"/>
      <c r="I39" s="167"/>
    </row>
    <row r="40" spans="1:13" ht="12.75" x14ac:dyDescent="0.2">
      <c r="A40" s="3"/>
      <c r="B40" s="158" t="s">
        <v>664</v>
      </c>
      <c r="C40" s="219"/>
      <c r="D40" s="126"/>
      <c r="E40" s="126"/>
      <c r="F40" s="753" t="s">
        <v>603</v>
      </c>
      <c r="G40" s="754"/>
      <c r="H40" s="281"/>
      <c r="I40" s="281" t="b">
        <v>0</v>
      </c>
      <c r="J40" s="282" t="b">
        <v>0</v>
      </c>
      <c r="K40" s="1" t="str" cm="1">
        <f t="array" ref="K40">_xlfn.IFS($I$40=TRUE, "On Campus", $I$40=FALSE, "")</f>
        <v/>
      </c>
      <c r="L40" s="1" t="str" cm="1">
        <f t="array" ref="L40">_xlfn.IFS($J$40=TRUE, "At Cooperating Institution", $J$40=FALSE, "")</f>
        <v/>
      </c>
    </row>
    <row r="41" spans="1:13" ht="12.75" x14ac:dyDescent="0.2">
      <c r="A41" s="3"/>
      <c r="B41" s="158" t="s">
        <v>663</v>
      </c>
      <c r="C41" s="197"/>
      <c r="D41" s="126"/>
      <c r="E41" s="126"/>
      <c r="F41" s="753"/>
      <c r="G41" s="754"/>
      <c r="H41" s="281" t="b">
        <v>0</v>
      </c>
      <c r="I41" s="281" t="b">
        <v>0</v>
      </c>
      <c r="J41" s="282" t="b">
        <v>0</v>
      </c>
      <c r="K41" s="1" t="str" cm="1">
        <f t="array" ref="K41">_xlfn.IFS($I$41=TRUE, "On Campus", $I$41=FALSE, "")</f>
        <v/>
      </c>
      <c r="L41" s="1" t="str" cm="1">
        <f t="array" ref="L41">_xlfn.IFS($J$41=TRUE, "At Cooperating Institution", $J$41=FALSE, "")</f>
        <v/>
      </c>
      <c r="M41" s="1" t="str" cm="1">
        <f t="array" ref="M41">_xlfn.IFS($H$41=TRUE, "Marine Option", $H$41=FALSE, "")</f>
        <v/>
      </c>
    </row>
    <row r="42" spans="1:13" ht="12.75" x14ac:dyDescent="0.2">
      <c r="A42" s="3"/>
      <c r="B42" s="158" t="s">
        <v>662</v>
      </c>
      <c r="C42" s="219"/>
      <c r="D42" s="126"/>
      <c r="E42" s="126"/>
      <c r="F42" s="753" t="s">
        <v>603</v>
      </c>
      <c r="G42" s="754"/>
      <c r="H42" s="281"/>
      <c r="I42" s="281" t="b">
        <v>0</v>
      </c>
      <c r="J42" s="282" t="b">
        <v>0</v>
      </c>
      <c r="K42" s="1" t="str" cm="1">
        <f t="array" ref="K42">_xlfn.IFS($I$42=TRUE, "On Campus", $I$42=FALSE, "")</f>
        <v/>
      </c>
      <c r="L42" s="1" t="str" cm="1">
        <f t="array" ref="L42">_xlfn.IFS($J$42=TRUE, "At Cooperating Institution", $J$42=FALSE, "")</f>
        <v/>
      </c>
    </row>
    <row r="43" spans="1:13" ht="9" customHeight="1" x14ac:dyDescent="0.2"/>
    <row r="44" spans="1:13" ht="26.25" customHeight="1" x14ac:dyDescent="0.2">
      <c r="A44" s="3" t="s">
        <v>661</v>
      </c>
      <c r="B44" s="755" t="s">
        <v>660</v>
      </c>
      <c r="C44" s="561"/>
      <c r="D44" s="561"/>
      <c r="E44" s="561"/>
      <c r="F44" s="561"/>
    </row>
    <row r="45" spans="1:13" ht="14.25" customHeight="1" x14ac:dyDescent="0.2">
      <c r="A45" s="3"/>
      <c r="B45" s="24"/>
      <c r="C45" s="5"/>
      <c r="D45" s="80"/>
      <c r="E45" s="5"/>
      <c r="F45" s="5"/>
      <c r="L45" s="172"/>
    </row>
    <row r="46" spans="1:13" ht="15.95" customHeight="1" x14ac:dyDescent="0.2">
      <c r="A46" s="60"/>
      <c r="B46" s="57" t="s">
        <v>1548</v>
      </c>
      <c r="C46" s="157"/>
      <c r="D46" s="283" t="b">
        <v>1</v>
      </c>
      <c r="E46" s="172"/>
      <c r="L46" s="172" t="str" cm="1">
        <f t="array" ref="L46">_xlfn.IFS($D$46=TRUE, "Coed residence halls|", $D$46=FALSE, "")</f>
        <v>Coed residence halls|</v>
      </c>
    </row>
    <row r="47" spans="1:13" ht="15.95" customHeight="1" x14ac:dyDescent="0.2">
      <c r="A47" s="60"/>
      <c r="B47" s="57" t="s">
        <v>1549</v>
      </c>
      <c r="C47" s="157"/>
      <c r="D47" s="283" t="b">
        <v>0</v>
      </c>
      <c r="E47" s="172"/>
      <c r="L47" s="172" t="str" cm="1">
        <f t="array" ref="L47">_xlfn.IFS($D$47=TRUE, "Men's residence halls|", $D$47=FALSE, "")</f>
        <v/>
      </c>
    </row>
    <row r="48" spans="1:13" ht="15.95" customHeight="1" x14ac:dyDescent="0.2">
      <c r="A48" s="60"/>
      <c r="B48" s="57" t="s">
        <v>1550</v>
      </c>
      <c r="C48" s="157"/>
      <c r="D48" s="283" t="b">
        <v>1</v>
      </c>
      <c r="E48" s="172"/>
      <c r="L48" s="172" t="str" cm="1">
        <f t="array" ref="L48">_xlfn.IFS($D$48=TRUE, "Women's residence halls|", $D$48=FALSE, "")</f>
        <v>Women's residence halls|</v>
      </c>
    </row>
    <row r="49" spans="1:12" ht="15.95" customHeight="1" x14ac:dyDescent="0.2">
      <c r="A49" s="60"/>
      <c r="B49" s="57" t="s">
        <v>659</v>
      </c>
      <c r="C49" s="57"/>
      <c r="D49" s="283" t="b">
        <v>0</v>
      </c>
      <c r="E49" s="172"/>
      <c r="L49" s="172" t="str" cm="1">
        <f t="array" ref="L49">_xlfn.IFS($D$49=TRUE, "Apartments for married students|", $D$49=FALSE, "")</f>
        <v/>
      </c>
    </row>
    <row r="50" spans="1:12" ht="15.95" customHeight="1" x14ac:dyDescent="0.2">
      <c r="A50" s="60"/>
      <c r="B50" s="57" t="s">
        <v>658</v>
      </c>
      <c r="C50" s="57"/>
      <c r="D50" s="283" t="b">
        <v>1</v>
      </c>
      <c r="E50" s="172"/>
      <c r="L50" s="172" t="str" cm="1">
        <f t="array" ref="L50">_xlfn.IFS($D$50=TRUE, "Apartments for single students|", $D$50=FALSE, "")</f>
        <v>Apartments for single students|</v>
      </c>
    </row>
    <row r="51" spans="1:12" ht="15.95" customHeight="1" x14ac:dyDescent="0.2">
      <c r="A51" s="60"/>
      <c r="B51" s="57" t="s">
        <v>657</v>
      </c>
      <c r="C51" s="57"/>
      <c r="D51" s="283" t="b">
        <v>1</v>
      </c>
      <c r="E51" s="172"/>
      <c r="L51" s="172" t="str" cm="1">
        <f t="array" ref="L51">_xlfn.IFS($D$51=TRUE, "Special housing for disabled students|", $D$51=FALSE, "")</f>
        <v>Special housing for disabled students|</v>
      </c>
    </row>
    <row r="52" spans="1:12" ht="15.95" customHeight="1" x14ac:dyDescent="0.2">
      <c r="A52" s="60"/>
      <c r="B52" s="57" t="s">
        <v>656</v>
      </c>
      <c r="C52" s="57"/>
      <c r="D52" s="284" t="b">
        <v>1</v>
      </c>
      <c r="E52" s="172"/>
      <c r="L52" s="172" t="str" cm="1">
        <f t="array" ref="L52">_xlfn.IFS($D$52=TRUE, "Special housing for international students|", $D$52=FALSE, "")</f>
        <v>Special housing for international students|</v>
      </c>
    </row>
    <row r="53" spans="1:12" ht="15.95" customHeight="1" x14ac:dyDescent="0.2">
      <c r="A53" s="60"/>
      <c r="B53" s="57" t="s">
        <v>655</v>
      </c>
      <c r="C53" s="157"/>
      <c r="D53" s="283" t="b">
        <v>1</v>
      </c>
      <c r="E53" s="172"/>
      <c r="L53" s="172" t="str" cm="1">
        <f t="array" ref="L53">_xlfn.IFS($D$53=TRUE, "Fraternity/sorority housing|", $D$53=FALSE, "")</f>
        <v>Fraternity/sorority housing|</v>
      </c>
    </row>
    <row r="54" spans="1:12" ht="15.95" customHeight="1" x14ac:dyDescent="0.2">
      <c r="A54" s="60"/>
      <c r="B54" s="57" t="s">
        <v>1551</v>
      </c>
      <c r="C54" s="157"/>
      <c r="D54" s="283" t="b">
        <v>0</v>
      </c>
      <c r="E54" s="172"/>
      <c r="L54" s="172" t="str" cm="1">
        <f t="array" ref="L54">_xlfn.IFS($D$54=TRUE, "Living Learning Communities|", $D$54=FALSE, "")</f>
        <v/>
      </c>
    </row>
    <row r="55" spans="1:12" ht="15.95" customHeight="1" x14ac:dyDescent="0.2">
      <c r="A55" s="60"/>
      <c r="B55" s="57" t="s">
        <v>654</v>
      </c>
      <c r="C55" s="157"/>
      <c r="D55" s="283" t="b">
        <v>0</v>
      </c>
      <c r="E55" s="172"/>
      <c r="L55" s="172" t="str" cm="1">
        <f t="array" ref="L55">_xlfn.IFS($D$55=TRUE, "Cooperative housing|", $D$55=FALSE, "")</f>
        <v/>
      </c>
    </row>
    <row r="56" spans="1:12" ht="15.95" customHeight="1" x14ac:dyDescent="0.2">
      <c r="A56" s="60"/>
      <c r="B56" s="57" t="s">
        <v>653</v>
      </c>
      <c r="C56" s="157"/>
      <c r="D56" s="283" t="b">
        <v>1</v>
      </c>
      <c r="E56" s="172"/>
      <c r="L56" s="172" t="str" cm="1">
        <f t="array" ref="L56">_xlfn.IFS($D$56=TRUE, "Theme housing|", $D$56=FALSE, "")</f>
        <v>Theme housing|</v>
      </c>
    </row>
    <row r="57" spans="1:12" ht="15.95" customHeight="1" x14ac:dyDescent="0.2">
      <c r="A57" s="60"/>
      <c r="B57" s="57" t="s">
        <v>652</v>
      </c>
      <c r="C57" s="157"/>
      <c r="D57" s="283" t="b">
        <v>1</v>
      </c>
      <c r="E57" s="172"/>
      <c r="L57" s="172" t="str" cm="1">
        <f t="array" ref="L57">_xlfn.IFS($D$57=TRUE, "Wellness housing|", $D$57=FALSE, "")</f>
        <v>Wellness housing|</v>
      </c>
    </row>
    <row r="58" spans="1:12" ht="15.95" customHeight="1" x14ac:dyDescent="0.2">
      <c r="A58" s="60"/>
      <c r="B58" s="57" t="s">
        <v>651</v>
      </c>
      <c r="C58" s="157"/>
      <c r="D58" s="283" t="s">
        <v>1987</v>
      </c>
      <c r="E58" s="172"/>
      <c r="L58" s="172" t="e" cm="1">
        <f t="array" ref="L58">_xlfn.IFS($D$58=TRUE, "Other housing options|", $D$58=FALSE, "")</f>
        <v>#N/A</v>
      </c>
    </row>
    <row r="59" spans="1:12" ht="14.1" customHeight="1" x14ac:dyDescent="0.2">
      <c r="A59" s="3"/>
      <c r="B59" s="5"/>
      <c r="C59" s="12"/>
      <c r="D59" s="171"/>
    </row>
    <row r="60" spans="1:12" ht="14.1" customHeight="1" x14ac:dyDescent="0.2">
      <c r="A60" s="3"/>
      <c r="B60" s="285"/>
      <c r="C60" s="286"/>
      <c r="D60" s="260"/>
      <c r="E60" s="226"/>
      <c r="F60" s="226"/>
      <c r="G60" s="226"/>
    </row>
    <row r="61" spans="1:12" ht="14.1" customHeight="1" x14ac:dyDescent="0.2">
      <c r="A61" s="3"/>
      <c r="B61" s="285"/>
      <c r="C61" s="286"/>
      <c r="D61" s="260"/>
      <c r="E61" s="226"/>
      <c r="F61" s="226"/>
      <c r="G61" s="226"/>
    </row>
    <row r="62" spans="1:12" ht="14.1" customHeight="1" x14ac:dyDescent="0.2">
      <c r="A62" s="3"/>
      <c r="B62" s="285"/>
      <c r="C62" s="286"/>
      <c r="D62" s="260"/>
      <c r="E62" s="226"/>
      <c r="F62" s="226"/>
      <c r="G62" s="226"/>
    </row>
    <row r="63" spans="1:12" ht="14.1" customHeight="1" x14ac:dyDescent="0.2">
      <c r="A63" s="3"/>
      <c r="B63" s="285"/>
      <c r="C63" s="286"/>
      <c r="D63" s="260"/>
      <c r="E63" s="226"/>
      <c r="F63" s="226"/>
      <c r="G63" s="226"/>
    </row>
    <row r="64" spans="1:12" ht="14.1" customHeight="1" x14ac:dyDescent="0.2">
      <c r="A64" s="3"/>
      <c r="B64" s="285"/>
      <c r="C64" s="286"/>
      <c r="D64" s="260"/>
      <c r="E64" s="226"/>
      <c r="F64" s="226"/>
      <c r="G64" s="226"/>
    </row>
    <row r="65" spans="1:3" ht="12.95" customHeight="1" x14ac:dyDescent="0.2">
      <c r="A65" s="3"/>
      <c r="B65" s="716"/>
      <c r="C65" s="716"/>
    </row>
    <row r="66" spans="1:3" ht="4.5" hidden="1" customHeight="1" x14ac:dyDescent="0.2"/>
  </sheetData>
  <sheetProtection algorithmName="SHA-512" hashValue="71MiUO0hnwIrvjptkauAlEkhp296haTT0RUohBXL26njy6yMF2wQUDCbaZ22HxUFSgZH10cWXwjrU3gLabwonA==" saltValue="eChD5gADKnCVzAIpOsm4yg==" spinCount="100000" sheet="1" objects="1" scenarios="1"/>
  <mergeCells count="19">
    <mergeCell ref="F39:G39"/>
    <mergeCell ref="B38:F38"/>
    <mergeCell ref="B14:F14"/>
    <mergeCell ref="A1:F1"/>
    <mergeCell ref="B3:F3"/>
    <mergeCell ref="B4:D4"/>
    <mergeCell ref="B5:D5"/>
    <mergeCell ref="B6:D6"/>
    <mergeCell ref="B7:D7"/>
    <mergeCell ref="B8:D8"/>
    <mergeCell ref="B9:D9"/>
    <mergeCell ref="B10:D10"/>
    <mergeCell ref="B11:D11"/>
    <mergeCell ref="B12:D12"/>
    <mergeCell ref="F40:G40"/>
    <mergeCell ref="B65:C65"/>
    <mergeCell ref="F41:G41"/>
    <mergeCell ref="F42:G42"/>
    <mergeCell ref="B44:F44"/>
  </mergeCells>
  <dataValidations count="3">
    <dataValidation type="whole" operator="greaterThan" allowBlank="1" showInputMessage="1" showErrorMessage="1" sqref="E12:F12" xr:uid="{00000000-0002-0000-0600-000000000000}">
      <formula1>0</formula1>
    </dataValidation>
    <dataValidation type="decimal" allowBlank="1" showInputMessage="1" showErrorMessage="1" sqref="E5:F10" xr:uid="{00000000-0002-0000-0600-000001000000}">
      <formula1>0</formula1>
      <formula2>1</formula2>
    </dataValidation>
    <dataValidation type="decimal" allowBlank="1" showInputMessage="1" showErrorMessage="1" sqref="E4:F4 E11:F11" xr:uid="{00000000-0002-0000-0600-000002000000}">
      <formula1>0</formula1>
      <formula2>100</formula2>
    </dataValidation>
  </dataValidations>
  <pageMargins left="0.75" right="0.75" top="1" bottom="1" header="0.5" footer="0.5"/>
  <pageSetup scale="75" orientation="portrait" r:id="rId1"/>
  <headerFooter alignWithMargins="0">
    <oddHeader>&amp;LCommon Data Set 2021-2022</oddHeader>
    <oddFooter>&amp;C&amp;A&amp;RPage &amp;P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7409" r:id="rId4" name="Check Box 1">
              <controlPr defaultSize="0" autoFill="0" autoLine="0" autoPict="0">
                <anchor moveWithCells="1">
                  <from>
                    <xdr:col>0</xdr:col>
                    <xdr:colOff>0</xdr:colOff>
                    <xdr:row>15</xdr:row>
                    <xdr:rowOff>9525</xdr:rowOff>
                  </from>
                  <to>
                    <xdr:col>1</xdr:col>
                    <xdr:colOff>9525</xdr:colOff>
                    <xdr:row>16</xdr:row>
                    <xdr:rowOff>9525</xdr:rowOff>
                  </to>
                </anchor>
              </controlPr>
            </control>
          </mc:Choice>
        </mc:AlternateContent>
        <mc:AlternateContent xmlns:mc="http://schemas.openxmlformats.org/markup-compatibility/2006">
          <mc:Choice Requires="x14">
            <control shapeId="17410" r:id="rId5" name="Check Box 2">
              <controlPr defaultSize="0" autoFill="0" autoLine="0" autoPict="0" altText="Choral groups">
                <anchor moveWithCells="1">
                  <from>
                    <xdr:col>0</xdr:col>
                    <xdr:colOff>0</xdr:colOff>
                    <xdr:row>16</xdr:row>
                    <xdr:rowOff>28575</xdr:rowOff>
                  </from>
                  <to>
                    <xdr:col>0</xdr:col>
                    <xdr:colOff>228600</xdr:colOff>
                    <xdr:row>16</xdr:row>
                    <xdr:rowOff>190500</xdr:rowOff>
                  </to>
                </anchor>
              </controlPr>
            </control>
          </mc:Choice>
        </mc:AlternateContent>
        <mc:AlternateContent xmlns:mc="http://schemas.openxmlformats.org/markup-compatibility/2006">
          <mc:Choice Requires="x14">
            <control shapeId="17411" r:id="rId6" name="Check Box 3">
              <controlPr defaultSize="0" autoFill="0" autoLine="0" autoPict="0">
                <anchor moveWithCells="1">
                  <from>
                    <xdr:col>0</xdr:col>
                    <xdr:colOff>0</xdr:colOff>
                    <xdr:row>17</xdr:row>
                    <xdr:rowOff>9525</xdr:rowOff>
                  </from>
                  <to>
                    <xdr:col>1</xdr:col>
                    <xdr:colOff>9525</xdr:colOff>
                    <xdr:row>18</xdr:row>
                    <xdr:rowOff>9525</xdr:rowOff>
                  </to>
                </anchor>
              </controlPr>
            </control>
          </mc:Choice>
        </mc:AlternateContent>
        <mc:AlternateContent xmlns:mc="http://schemas.openxmlformats.org/markup-compatibility/2006">
          <mc:Choice Requires="x14">
            <control shapeId="17412" r:id="rId7" name="Check Box 4">
              <controlPr defaultSize="0" autoFill="0" autoLine="0" autoPict="0">
                <anchor moveWithCells="1">
                  <from>
                    <xdr:col>0</xdr:col>
                    <xdr:colOff>0</xdr:colOff>
                    <xdr:row>18</xdr:row>
                    <xdr:rowOff>9525</xdr:rowOff>
                  </from>
                  <to>
                    <xdr:col>1</xdr:col>
                    <xdr:colOff>0</xdr:colOff>
                    <xdr:row>19</xdr:row>
                    <xdr:rowOff>9525</xdr:rowOff>
                  </to>
                </anchor>
              </controlPr>
            </control>
          </mc:Choice>
        </mc:AlternateContent>
        <mc:AlternateContent xmlns:mc="http://schemas.openxmlformats.org/markup-compatibility/2006">
          <mc:Choice Requires="x14">
            <control shapeId="17413" r:id="rId8" name="Check Box 5">
              <controlPr defaultSize="0" autoFill="0" autoLine="0" autoPict="0">
                <anchor moveWithCells="1">
                  <from>
                    <xdr:col>0</xdr:col>
                    <xdr:colOff>0</xdr:colOff>
                    <xdr:row>19</xdr:row>
                    <xdr:rowOff>28575</xdr:rowOff>
                  </from>
                  <to>
                    <xdr:col>1</xdr:col>
                    <xdr:colOff>0</xdr:colOff>
                    <xdr:row>19</xdr:row>
                    <xdr:rowOff>190500</xdr:rowOff>
                  </to>
                </anchor>
              </controlPr>
            </control>
          </mc:Choice>
        </mc:AlternateContent>
        <mc:AlternateContent xmlns:mc="http://schemas.openxmlformats.org/markup-compatibility/2006">
          <mc:Choice Requires="x14">
            <control shapeId="17414" r:id="rId9" name="Check Box 6">
              <controlPr defaultSize="0" autoFill="0" autoLine="0" autoPict="0">
                <anchor moveWithCells="1">
                  <from>
                    <xdr:col>0</xdr:col>
                    <xdr:colOff>0</xdr:colOff>
                    <xdr:row>20</xdr:row>
                    <xdr:rowOff>28575</xdr:rowOff>
                  </from>
                  <to>
                    <xdr:col>1</xdr:col>
                    <xdr:colOff>0</xdr:colOff>
                    <xdr:row>20</xdr:row>
                    <xdr:rowOff>200025</xdr:rowOff>
                  </to>
                </anchor>
              </controlPr>
            </control>
          </mc:Choice>
        </mc:AlternateContent>
        <mc:AlternateContent xmlns:mc="http://schemas.openxmlformats.org/markup-compatibility/2006">
          <mc:Choice Requires="x14">
            <control shapeId="17415" r:id="rId10" name="Check Box 7">
              <controlPr defaultSize="0" autoFill="0" autoLine="0" autoPict="0">
                <anchor moveWithCells="1">
                  <from>
                    <xdr:col>0</xdr:col>
                    <xdr:colOff>0</xdr:colOff>
                    <xdr:row>21</xdr:row>
                    <xdr:rowOff>28575</xdr:rowOff>
                  </from>
                  <to>
                    <xdr:col>1</xdr:col>
                    <xdr:colOff>9525</xdr:colOff>
                    <xdr:row>22</xdr:row>
                    <xdr:rowOff>9525</xdr:rowOff>
                  </to>
                </anchor>
              </controlPr>
            </control>
          </mc:Choice>
        </mc:AlternateContent>
        <mc:AlternateContent xmlns:mc="http://schemas.openxmlformats.org/markup-compatibility/2006">
          <mc:Choice Requires="x14">
            <control shapeId="17416" r:id="rId11" name="Check Box 8">
              <controlPr defaultSize="0" autoFill="0" autoLine="0" autoPict="0">
                <anchor moveWithCells="1">
                  <from>
                    <xdr:col>0</xdr:col>
                    <xdr:colOff>0</xdr:colOff>
                    <xdr:row>22</xdr:row>
                    <xdr:rowOff>28575</xdr:rowOff>
                  </from>
                  <to>
                    <xdr:col>0</xdr:col>
                    <xdr:colOff>228600</xdr:colOff>
                    <xdr:row>23</xdr:row>
                    <xdr:rowOff>9525</xdr:rowOff>
                  </to>
                </anchor>
              </controlPr>
            </control>
          </mc:Choice>
        </mc:AlternateContent>
        <mc:AlternateContent xmlns:mc="http://schemas.openxmlformats.org/markup-compatibility/2006">
          <mc:Choice Requires="x14">
            <control shapeId="17417" r:id="rId12" name="Check Box 9">
              <controlPr defaultSize="0" autoFill="0" autoLine="0" autoPict="0">
                <anchor moveWithCells="1">
                  <from>
                    <xdr:col>0</xdr:col>
                    <xdr:colOff>0</xdr:colOff>
                    <xdr:row>23</xdr:row>
                    <xdr:rowOff>28575</xdr:rowOff>
                  </from>
                  <to>
                    <xdr:col>1</xdr:col>
                    <xdr:colOff>9525</xdr:colOff>
                    <xdr:row>24</xdr:row>
                    <xdr:rowOff>9525</xdr:rowOff>
                  </to>
                </anchor>
              </controlPr>
            </control>
          </mc:Choice>
        </mc:AlternateContent>
        <mc:AlternateContent xmlns:mc="http://schemas.openxmlformats.org/markup-compatibility/2006">
          <mc:Choice Requires="x14">
            <control shapeId="17418" r:id="rId13" name="Check Box 10">
              <controlPr defaultSize="0" autoFill="0" autoLine="0" autoPict="0">
                <anchor moveWithCells="1">
                  <from>
                    <xdr:col>0</xdr:col>
                    <xdr:colOff>0</xdr:colOff>
                    <xdr:row>24</xdr:row>
                    <xdr:rowOff>28575</xdr:rowOff>
                  </from>
                  <to>
                    <xdr:col>1</xdr:col>
                    <xdr:colOff>0</xdr:colOff>
                    <xdr:row>24</xdr:row>
                    <xdr:rowOff>200025</xdr:rowOff>
                  </to>
                </anchor>
              </controlPr>
            </control>
          </mc:Choice>
        </mc:AlternateContent>
        <mc:AlternateContent xmlns:mc="http://schemas.openxmlformats.org/markup-compatibility/2006">
          <mc:Choice Requires="x14">
            <control shapeId="17419" r:id="rId14" name="Check Box 11">
              <controlPr defaultSize="0" autoFill="0" autoLine="0" autoPict="0">
                <anchor moveWithCells="1">
                  <from>
                    <xdr:col>0</xdr:col>
                    <xdr:colOff>0</xdr:colOff>
                    <xdr:row>25</xdr:row>
                    <xdr:rowOff>9525</xdr:rowOff>
                  </from>
                  <to>
                    <xdr:col>0</xdr:col>
                    <xdr:colOff>238125</xdr:colOff>
                    <xdr:row>26</xdr:row>
                    <xdr:rowOff>9525</xdr:rowOff>
                  </to>
                </anchor>
              </controlPr>
            </control>
          </mc:Choice>
        </mc:AlternateContent>
        <mc:AlternateContent xmlns:mc="http://schemas.openxmlformats.org/markup-compatibility/2006">
          <mc:Choice Requires="x14">
            <control shapeId="17420" r:id="rId15" name="Check Box 12">
              <controlPr defaultSize="0" autoFill="0" autoLine="0" autoPict="0">
                <anchor moveWithCells="1">
                  <from>
                    <xdr:col>0</xdr:col>
                    <xdr:colOff>0</xdr:colOff>
                    <xdr:row>26</xdr:row>
                    <xdr:rowOff>28575</xdr:rowOff>
                  </from>
                  <to>
                    <xdr:col>1</xdr:col>
                    <xdr:colOff>0</xdr:colOff>
                    <xdr:row>27</xdr:row>
                    <xdr:rowOff>9525</xdr:rowOff>
                  </to>
                </anchor>
              </controlPr>
            </control>
          </mc:Choice>
        </mc:AlternateContent>
        <mc:AlternateContent xmlns:mc="http://schemas.openxmlformats.org/markup-compatibility/2006">
          <mc:Choice Requires="x14">
            <control shapeId="17421" r:id="rId16" name="Check Box 13">
              <controlPr defaultSize="0" autoFill="0" autoLine="0" autoPict="0">
                <anchor moveWithCells="1">
                  <from>
                    <xdr:col>0</xdr:col>
                    <xdr:colOff>0</xdr:colOff>
                    <xdr:row>27</xdr:row>
                    <xdr:rowOff>9525</xdr:rowOff>
                  </from>
                  <to>
                    <xdr:col>1</xdr:col>
                    <xdr:colOff>9525</xdr:colOff>
                    <xdr:row>28</xdr:row>
                    <xdr:rowOff>9525</xdr:rowOff>
                  </to>
                </anchor>
              </controlPr>
            </control>
          </mc:Choice>
        </mc:AlternateContent>
        <mc:AlternateContent xmlns:mc="http://schemas.openxmlformats.org/markup-compatibility/2006">
          <mc:Choice Requires="x14">
            <control shapeId="17422" r:id="rId17" name="Check Box 14">
              <controlPr defaultSize="0" autoFill="0" autoLine="0" autoPict="0">
                <anchor moveWithCells="1">
                  <from>
                    <xdr:col>0</xdr:col>
                    <xdr:colOff>0</xdr:colOff>
                    <xdr:row>28</xdr:row>
                    <xdr:rowOff>9525</xdr:rowOff>
                  </from>
                  <to>
                    <xdr:col>1</xdr:col>
                    <xdr:colOff>9525</xdr:colOff>
                    <xdr:row>29</xdr:row>
                    <xdr:rowOff>9525</xdr:rowOff>
                  </to>
                </anchor>
              </controlPr>
            </control>
          </mc:Choice>
        </mc:AlternateContent>
        <mc:AlternateContent xmlns:mc="http://schemas.openxmlformats.org/markup-compatibility/2006">
          <mc:Choice Requires="x14">
            <control shapeId="17423" r:id="rId18" name="Check Box 15">
              <controlPr defaultSize="0" autoFill="0" autoLine="0" autoPict="0">
                <anchor moveWithCells="1">
                  <from>
                    <xdr:col>0</xdr:col>
                    <xdr:colOff>0</xdr:colOff>
                    <xdr:row>29</xdr:row>
                    <xdr:rowOff>9525</xdr:rowOff>
                  </from>
                  <to>
                    <xdr:col>1</xdr:col>
                    <xdr:colOff>0</xdr:colOff>
                    <xdr:row>30</xdr:row>
                    <xdr:rowOff>9525</xdr:rowOff>
                  </to>
                </anchor>
              </controlPr>
            </control>
          </mc:Choice>
        </mc:AlternateContent>
        <mc:AlternateContent xmlns:mc="http://schemas.openxmlformats.org/markup-compatibility/2006">
          <mc:Choice Requires="x14">
            <control shapeId="17424" r:id="rId19" name="Check Box 16">
              <controlPr defaultSize="0" autoFill="0" autoLine="0" autoPict="0">
                <anchor moveWithCells="1">
                  <from>
                    <xdr:col>0</xdr:col>
                    <xdr:colOff>0</xdr:colOff>
                    <xdr:row>30</xdr:row>
                    <xdr:rowOff>9525</xdr:rowOff>
                  </from>
                  <to>
                    <xdr:col>0</xdr:col>
                    <xdr:colOff>228600</xdr:colOff>
                    <xdr:row>30</xdr:row>
                    <xdr:rowOff>200025</xdr:rowOff>
                  </to>
                </anchor>
              </controlPr>
            </control>
          </mc:Choice>
        </mc:AlternateContent>
        <mc:AlternateContent xmlns:mc="http://schemas.openxmlformats.org/markup-compatibility/2006">
          <mc:Choice Requires="x14">
            <control shapeId="17425" r:id="rId20" name="Check Box 17">
              <controlPr defaultSize="0" autoFill="0" autoLine="0" autoPict="0">
                <anchor moveWithCells="1">
                  <from>
                    <xdr:col>0</xdr:col>
                    <xdr:colOff>0</xdr:colOff>
                    <xdr:row>31</xdr:row>
                    <xdr:rowOff>0</xdr:rowOff>
                  </from>
                  <to>
                    <xdr:col>0</xdr:col>
                    <xdr:colOff>228600</xdr:colOff>
                    <xdr:row>32</xdr:row>
                    <xdr:rowOff>9525</xdr:rowOff>
                  </to>
                </anchor>
              </controlPr>
            </control>
          </mc:Choice>
        </mc:AlternateContent>
        <mc:AlternateContent xmlns:mc="http://schemas.openxmlformats.org/markup-compatibility/2006">
          <mc:Choice Requires="x14">
            <control shapeId="17426" r:id="rId21" name="Check Box 18">
              <controlPr defaultSize="0" autoFill="0" autoLine="0" autoPict="0">
                <anchor moveWithCells="1">
                  <from>
                    <xdr:col>0</xdr:col>
                    <xdr:colOff>0</xdr:colOff>
                    <xdr:row>32</xdr:row>
                    <xdr:rowOff>28575</xdr:rowOff>
                  </from>
                  <to>
                    <xdr:col>1</xdr:col>
                    <xdr:colOff>0</xdr:colOff>
                    <xdr:row>33</xdr:row>
                    <xdr:rowOff>9525</xdr:rowOff>
                  </to>
                </anchor>
              </controlPr>
            </control>
          </mc:Choice>
        </mc:AlternateContent>
        <mc:AlternateContent xmlns:mc="http://schemas.openxmlformats.org/markup-compatibility/2006">
          <mc:Choice Requires="x14">
            <control shapeId="17427" r:id="rId22" name="Check Box 19">
              <controlPr defaultSize="0" autoFill="0" autoLine="0" autoPict="0">
                <anchor moveWithCells="1">
                  <from>
                    <xdr:col>0</xdr:col>
                    <xdr:colOff>0</xdr:colOff>
                    <xdr:row>33</xdr:row>
                    <xdr:rowOff>28575</xdr:rowOff>
                  </from>
                  <to>
                    <xdr:col>1</xdr:col>
                    <xdr:colOff>0</xdr:colOff>
                    <xdr:row>33</xdr:row>
                    <xdr:rowOff>200025</xdr:rowOff>
                  </to>
                </anchor>
              </controlPr>
            </control>
          </mc:Choice>
        </mc:AlternateContent>
        <mc:AlternateContent xmlns:mc="http://schemas.openxmlformats.org/markup-compatibility/2006">
          <mc:Choice Requires="x14">
            <control shapeId="17428" r:id="rId23" name="Check Box 20">
              <controlPr defaultSize="0" autoFill="0" autoLine="0" autoPict="0">
                <anchor moveWithCells="1">
                  <from>
                    <xdr:col>0</xdr:col>
                    <xdr:colOff>0</xdr:colOff>
                    <xdr:row>34</xdr:row>
                    <xdr:rowOff>9525</xdr:rowOff>
                  </from>
                  <to>
                    <xdr:col>1</xdr:col>
                    <xdr:colOff>9525</xdr:colOff>
                    <xdr:row>35</xdr:row>
                    <xdr:rowOff>9525</xdr:rowOff>
                  </to>
                </anchor>
              </controlPr>
            </control>
          </mc:Choice>
        </mc:AlternateContent>
        <mc:AlternateContent xmlns:mc="http://schemas.openxmlformats.org/markup-compatibility/2006">
          <mc:Choice Requires="x14">
            <control shapeId="17429" r:id="rId24" name="Check Box 21">
              <controlPr defaultSize="0" autoFill="0" autoLine="0" autoPict="0">
                <anchor moveWithCells="1">
                  <from>
                    <xdr:col>0</xdr:col>
                    <xdr:colOff>0</xdr:colOff>
                    <xdr:row>35</xdr:row>
                    <xdr:rowOff>9525</xdr:rowOff>
                  </from>
                  <to>
                    <xdr:col>1</xdr:col>
                    <xdr:colOff>9525</xdr:colOff>
                    <xdr:row>36</xdr:row>
                    <xdr:rowOff>9525</xdr:rowOff>
                  </to>
                </anchor>
              </controlPr>
            </control>
          </mc:Choice>
        </mc:AlternateContent>
        <mc:AlternateContent xmlns:mc="http://schemas.openxmlformats.org/markup-compatibility/2006">
          <mc:Choice Requires="x14">
            <control shapeId="17430" r:id="rId25" name="Check Box 22">
              <controlPr defaultSize="0" autoFill="0" autoLine="0" autoPict="0">
                <anchor moveWithCells="1">
                  <from>
                    <xdr:col>3</xdr:col>
                    <xdr:colOff>238125</xdr:colOff>
                    <xdr:row>39</xdr:row>
                    <xdr:rowOff>9525</xdr:rowOff>
                  </from>
                  <to>
                    <xdr:col>3</xdr:col>
                    <xdr:colOff>495300</xdr:colOff>
                    <xdr:row>39</xdr:row>
                    <xdr:rowOff>152400</xdr:rowOff>
                  </to>
                </anchor>
              </controlPr>
            </control>
          </mc:Choice>
        </mc:AlternateContent>
        <mc:AlternateContent xmlns:mc="http://schemas.openxmlformats.org/markup-compatibility/2006">
          <mc:Choice Requires="x14">
            <control shapeId="17431" r:id="rId26" name="Check Box 23">
              <controlPr defaultSize="0" autoFill="0" autoLine="0" autoPict="0">
                <anchor moveWithCells="1">
                  <from>
                    <xdr:col>3</xdr:col>
                    <xdr:colOff>238125</xdr:colOff>
                    <xdr:row>40</xdr:row>
                    <xdr:rowOff>0</xdr:rowOff>
                  </from>
                  <to>
                    <xdr:col>3</xdr:col>
                    <xdr:colOff>485775</xdr:colOff>
                    <xdr:row>40</xdr:row>
                    <xdr:rowOff>152400</xdr:rowOff>
                  </to>
                </anchor>
              </controlPr>
            </control>
          </mc:Choice>
        </mc:AlternateContent>
        <mc:AlternateContent xmlns:mc="http://schemas.openxmlformats.org/markup-compatibility/2006">
          <mc:Choice Requires="x14">
            <control shapeId="17432" r:id="rId27" name="Check Box 24">
              <controlPr defaultSize="0" autoFill="0" autoLine="0" autoPict="0">
                <anchor moveWithCells="1">
                  <from>
                    <xdr:col>3</xdr:col>
                    <xdr:colOff>238125</xdr:colOff>
                    <xdr:row>41</xdr:row>
                    <xdr:rowOff>0</xdr:rowOff>
                  </from>
                  <to>
                    <xdr:col>3</xdr:col>
                    <xdr:colOff>495300</xdr:colOff>
                    <xdr:row>42</xdr:row>
                    <xdr:rowOff>9525</xdr:rowOff>
                  </to>
                </anchor>
              </controlPr>
            </control>
          </mc:Choice>
        </mc:AlternateContent>
        <mc:AlternateContent xmlns:mc="http://schemas.openxmlformats.org/markup-compatibility/2006">
          <mc:Choice Requires="x14">
            <control shapeId="17433" r:id="rId28" name="Check Box 25">
              <controlPr defaultSize="0" autoFill="0" autoLine="0" autoPict="0">
                <anchor moveWithCells="1">
                  <from>
                    <xdr:col>4</xdr:col>
                    <xdr:colOff>371475</xdr:colOff>
                    <xdr:row>39</xdr:row>
                    <xdr:rowOff>28575</xdr:rowOff>
                  </from>
                  <to>
                    <xdr:col>4</xdr:col>
                    <xdr:colOff>619125</xdr:colOff>
                    <xdr:row>40</xdr:row>
                    <xdr:rowOff>0</xdr:rowOff>
                  </to>
                </anchor>
              </controlPr>
            </control>
          </mc:Choice>
        </mc:AlternateContent>
        <mc:AlternateContent xmlns:mc="http://schemas.openxmlformats.org/markup-compatibility/2006">
          <mc:Choice Requires="x14">
            <control shapeId="17434" r:id="rId29" name="Check Box 26">
              <controlPr defaultSize="0" autoFill="0" autoLine="0" autoPict="0">
                <anchor moveWithCells="1">
                  <from>
                    <xdr:col>4</xdr:col>
                    <xdr:colOff>371475</xdr:colOff>
                    <xdr:row>40</xdr:row>
                    <xdr:rowOff>9525</xdr:rowOff>
                  </from>
                  <to>
                    <xdr:col>4</xdr:col>
                    <xdr:colOff>657225</xdr:colOff>
                    <xdr:row>41</xdr:row>
                    <xdr:rowOff>28575</xdr:rowOff>
                  </to>
                </anchor>
              </controlPr>
            </control>
          </mc:Choice>
        </mc:AlternateContent>
        <mc:AlternateContent xmlns:mc="http://schemas.openxmlformats.org/markup-compatibility/2006">
          <mc:Choice Requires="x14">
            <control shapeId="17435" r:id="rId30" name="Check Box 27">
              <controlPr defaultSize="0" autoFill="0" autoLine="0" autoPict="0">
                <anchor moveWithCells="1">
                  <from>
                    <xdr:col>4</xdr:col>
                    <xdr:colOff>371475</xdr:colOff>
                    <xdr:row>41</xdr:row>
                    <xdr:rowOff>9525</xdr:rowOff>
                  </from>
                  <to>
                    <xdr:col>4</xdr:col>
                    <xdr:colOff>619125</xdr:colOff>
                    <xdr:row>41</xdr:row>
                    <xdr:rowOff>152400</xdr:rowOff>
                  </to>
                </anchor>
              </controlPr>
            </control>
          </mc:Choice>
        </mc:AlternateContent>
        <mc:AlternateContent xmlns:mc="http://schemas.openxmlformats.org/markup-compatibility/2006">
          <mc:Choice Requires="x14">
            <control shapeId="17437" r:id="rId31" name="Check Box 29">
              <controlPr defaultSize="0" autoFill="0" autoLine="0" autoPict="0">
                <anchor moveWithCells="1">
                  <from>
                    <xdr:col>0</xdr:col>
                    <xdr:colOff>0</xdr:colOff>
                    <xdr:row>45</xdr:row>
                    <xdr:rowOff>9525</xdr:rowOff>
                  </from>
                  <to>
                    <xdr:col>1</xdr:col>
                    <xdr:colOff>0</xdr:colOff>
                    <xdr:row>46</xdr:row>
                    <xdr:rowOff>28575</xdr:rowOff>
                  </to>
                </anchor>
              </controlPr>
            </control>
          </mc:Choice>
        </mc:AlternateContent>
        <mc:AlternateContent xmlns:mc="http://schemas.openxmlformats.org/markup-compatibility/2006">
          <mc:Choice Requires="x14">
            <control shapeId="17438" r:id="rId32" name="Check Box 30">
              <controlPr defaultSize="0" autoFill="0" autoLine="0" autoPict="0">
                <anchor moveWithCells="1">
                  <from>
                    <xdr:col>0</xdr:col>
                    <xdr:colOff>0</xdr:colOff>
                    <xdr:row>46</xdr:row>
                    <xdr:rowOff>9525</xdr:rowOff>
                  </from>
                  <to>
                    <xdr:col>0</xdr:col>
                    <xdr:colOff>228600</xdr:colOff>
                    <xdr:row>47</xdr:row>
                    <xdr:rowOff>9525</xdr:rowOff>
                  </to>
                </anchor>
              </controlPr>
            </control>
          </mc:Choice>
        </mc:AlternateContent>
        <mc:AlternateContent xmlns:mc="http://schemas.openxmlformats.org/markup-compatibility/2006">
          <mc:Choice Requires="x14">
            <control shapeId="17439" r:id="rId33" name="Check Box 31">
              <controlPr defaultSize="0" autoFill="0" autoLine="0" autoPict="0">
                <anchor moveWithCells="1">
                  <from>
                    <xdr:col>0</xdr:col>
                    <xdr:colOff>0</xdr:colOff>
                    <xdr:row>47</xdr:row>
                    <xdr:rowOff>9525</xdr:rowOff>
                  </from>
                  <to>
                    <xdr:col>1</xdr:col>
                    <xdr:colOff>0</xdr:colOff>
                    <xdr:row>47</xdr:row>
                    <xdr:rowOff>190500</xdr:rowOff>
                  </to>
                </anchor>
              </controlPr>
            </control>
          </mc:Choice>
        </mc:AlternateContent>
        <mc:AlternateContent xmlns:mc="http://schemas.openxmlformats.org/markup-compatibility/2006">
          <mc:Choice Requires="x14">
            <control shapeId="17440" r:id="rId34" name="Check Box 32">
              <controlPr defaultSize="0" autoFill="0" autoLine="0" autoPict="0">
                <anchor moveWithCells="1">
                  <from>
                    <xdr:col>0</xdr:col>
                    <xdr:colOff>0</xdr:colOff>
                    <xdr:row>48</xdr:row>
                    <xdr:rowOff>9525</xdr:rowOff>
                  </from>
                  <to>
                    <xdr:col>1</xdr:col>
                    <xdr:colOff>0</xdr:colOff>
                    <xdr:row>49</xdr:row>
                    <xdr:rowOff>9525</xdr:rowOff>
                  </to>
                </anchor>
              </controlPr>
            </control>
          </mc:Choice>
        </mc:AlternateContent>
        <mc:AlternateContent xmlns:mc="http://schemas.openxmlformats.org/markup-compatibility/2006">
          <mc:Choice Requires="x14">
            <control shapeId="17441" r:id="rId35" name="Check Box 33">
              <controlPr defaultSize="0" autoFill="0" autoLine="0" autoPict="0">
                <anchor moveWithCells="1">
                  <from>
                    <xdr:col>0</xdr:col>
                    <xdr:colOff>0</xdr:colOff>
                    <xdr:row>48</xdr:row>
                    <xdr:rowOff>190500</xdr:rowOff>
                  </from>
                  <to>
                    <xdr:col>0</xdr:col>
                    <xdr:colOff>228600</xdr:colOff>
                    <xdr:row>50</xdr:row>
                    <xdr:rowOff>9525</xdr:rowOff>
                  </to>
                </anchor>
              </controlPr>
            </control>
          </mc:Choice>
        </mc:AlternateContent>
        <mc:AlternateContent xmlns:mc="http://schemas.openxmlformats.org/markup-compatibility/2006">
          <mc:Choice Requires="x14">
            <control shapeId="17442" r:id="rId36" name="Check Box 34">
              <controlPr defaultSize="0" autoFill="0" autoLine="0" autoPict="0">
                <anchor moveWithCells="1">
                  <from>
                    <xdr:col>0</xdr:col>
                    <xdr:colOff>0</xdr:colOff>
                    <xdr:row>50</xdr:row>
                    <xdr:rowOff>0</xdr:rowOff>
                  </from>
                  <to>
                    <xdr:col>1</xdr:col>
                    <xdr:colOff>9525</xdr:colOff>
                    <xdr:row>51</xdr:row>
                    <xdr:rowOff>9525</xdr:rowOff>
                  </to>
                </anchor>
              </controlPr>
            </control>
          </mc:Choice>
        </mc:AlternateContent>
        <mc:AlternateContent xmlns:mc="http://schemas.openxmlformats.org/markup-compatibility/2006">
          <mc:Choice Requires="x14">
            <control shapeId="17443" r:id="rId37" name="Check Box 35">
              <controlPr defaultSize="0" autoFill="0" autoLine="0" autoPict="0">
                <anchor moveWithCells="1">
                  <from>
                    <xdr:col>0</xdr:col>
                    <xdr:colOff>0</xdr:colOff>
                    <xdr:row>50</xdr:row>
                    <xdr:rowOff>190500</xdr:rowOff>
                  </from>
                  <to>
                    <xdr:col>1</xdr:col>
                    <xdr:colOff>0</xdr:colOff>
                    <xdr:row>52</xdr:row>
                    <xdr:rowOff>0</xdr:rowOff>
                  </to>
                </anchor>
              </controlPr>
            </control>
          </mc:Choice>
        </mc:AlternateContent>
        <mc:AlternateContent xmlns:mc="http://schemas.openxmlformats.org/markup-compatibility/2006">
          <mc:Choice Requires="x14">
            <control shapeId="17444" r:id="rId38" name="Check Box 36">
              <controlPr defaultSize="0" autoFill="0" autoLine="0" autoPict="0">
                <anchor moveWithCells="1">
                  <from>
                    <xdr:col>0</xdr:col>
                    <xdr:colOff>0</xdr:colOff>
                    <xdr:row>51</xdr:row>
                    <xdr:rowOff>200025</xdr:rowOff>
                  </from>
                  <to>
                    <xdr:col>1</xdr:col>
                    <xdr:colOff>0</xdr:colOff>
                    <xdr:row>53</xdr:row>
                    <xdr:rowOff>9525</xdr:rowOff>
                  </to>
                </anchor>
              </controlPr>
            </control>
          </mc:Choice>
        </mc:AlternateContent>
        <mc:AlternateContent xmlns:mc="http://schemas.openxmlformats.org/markup-compatibility/2006">
          <mc:Choice Requires="x14">
            <control shapeId="17445" r:id="rId39" name="Check Box 37">
              <controlPr defaultSize="0" autoFill="0" autoLine="0" autoPict="0">
                <anchor moveWithCells="1">
                  <from>
                    <xdr:col>0</xdr:col>
                    <xdr:colOff>0</xdr:colOff>
                    <xdr:row>54</xdr:row>
                    <xdr:rowOff>9525</xdr:rowOff>
                  </from>
                  <to>
                    <xdr:col>1</xdr:col>
                    <xdr:colOff>0</xdr:colOff>
                    <xdr:row>55</xdr:row>
                    <xdr:rowOff>9525</xdr:rowOff>
                  </to>
                </anchor>
              </controlPr>
            </control>
          </mc:Choice>
        </mc:AlternateContent>
        <mc:AlternateContent xmlns:mc="http://schemas.openxmlformats.org/markup-compatibility/2006">
          <mc:Choice Requires="x14">
            <control shapeId="17446" r:id="rId40" name="Check Box 38">
              <controlPr defaultSize="0" autoFill="0" autoLine="0" autoPict="0">
                <anchor moveWithCells="1">
                  <from>
                    <xdr:col>0</xdr:col>
                    <xdr:colOff>0</xdr:colOff>
                    <xdr:row>54</xdr:row>
                    <xdr:rowOff>190500</xdr:rowOff>
                  </from>
                  <to>
                    <xdr:col>0</xdr:col>
                    <xdr:colOff>228600</xdr:colOff>
                    <xdr:row>56</xdr:row>
                    <xdr:rowOff>9525</xdr:rowOff>
                  </to>
                </anchor>
              </controlPr>
            </control>
          </mc:Choice>
        </mc:AlternateContent>
        <mc:AlternateContent xmlns:mc="http://schemas.openxmlformats.org/markup-compatibility/2006">
          <mc:Choice Requires="x14">
            <control shapeId="17447" r:id="rId41" name="Check Box 39">
              <controlPr defaultSize="0" autoFill="0" autoLine="0" autoPict="0">
                <anchor moveWithCells="1">
                  <from>
                    <xdr:col>0</xdr:col>
                    <xdr:colOff>0</xdr:colOff>
                    <xdr:row>56</xdr:row>
                    <xdr:rowOff>9525</xdr:rowOff>
                  </from>
                  <to>
                    <xdr:col>0</xdr:col>
                    <xdr:colOff>228600</xdr:colOff>
                    <xdr:row>57</xdr:row>
                    <xdr:rowOff>9525</xdr:rowOff>
                  </to>
                </anchor>
              </controlPr>
            </control>
          </mc:Choice>
        </mc:AlternateContent>
        <mc:AlternateContent xmlns:mc="http://schemas.openxmlformats.org/markup-compatibility/2006">
          <mc:Choice Requires="x14">
            <control shapeId="17448" r:id="rId42" name="Check Box 40">
              <controlPr defaultSize="0" autoFill="0" autoLine="0" autoPict="0">
                <anchor moveWithCells="1">
                  <from>
                    <xdr:col>0</xdr:col>
                    <xdr:colOff>0</xdr:colOff>
                    <xdr:row>57</xdr:row>
                    <xdr:rowOff>9525</xdr:rowOff>
                  </from>
                  <to>
                    <xdr:col>1</xdr:col>
                    <xdr:colOff>9525</xdr:colOff>
                    <xdr:row>58</xdr:row>
                    <xdr:rowOff>0</xdr:rowOff>
                  </to>
                </anchor>
              </controlPr>
            </control>
          </mc:Choice>
        </mc:AlternateContent>
        <mc:AlternateContent xmlns:mc="http://schemas.openxmlformats.org/markup-compatibility/2006">
          <mc:Choice Requires="x14">
            <control shapeId="17449" r:id="rId43" name="Check Box 41">
              <controlPr defaultSize="0" autoFill="0" autoLine="0" autoPict="0">
                <anchor moveWithCells="1">
                  <from>
                    <xdr:col>2</xdr:col>
                    <xdr:colOff>276225</xdr:colOff>
                    <xdr:row>40</xdr:row>
                    <xdr:rowOff>0</xdr:rowOff>
                  </from>
                  <to>
                    <xdr:col>2</xdr:col>
                    <xdr:colOff>571500</xdr:colOff>
                    <xdr:row>40</xdr:row>
                    <xdr:rowOff>152400</xdr:rowOff>
                  </to>
                </anchor>
              </controlPr>
            </control>
          </mc:Choice>
        </mc:AlternateContent>
        <mc:AlternateContent xmlns:mc="http://schemas.openxmlformats.org/markup-compatibility/2006">
          <mc:Choice Requires="x14">
            <control shapeId="17450" r:id="rId44" name="Check Box 42">
              <controlPr defaultSize="0" autoFill="0" autoLine="0" autoPict="0">
                <anchor moveWithCells="1">
                  <from>
                    <xdr:col>0</xdr:col>
                    <xdr:colOff>0</xdr:colOff>
                    <xdr:row>53</xdr:row>
                    <xdr:rowOff>0</xdr:rowOff>
                  </from>
                  <to>
                    <xdr:col>1</xdr:col>
                    <xdr:colOff>76200</xdr:colOff>
                    <xdr:row>54</xdr:row>
                    <xdr:rowOff>28575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77"/>
  <sheetViews>
    <sheetView showGridLines="0" showRowColHeaders="0" showRuler="0" topLeftCell="A11" zoomScaleNormal="100" workbookViewId="0">
      <selection activeCell="B4" sqref="B4:E4"/>
    </sheetView>
  </sheetViews>
  <sheetFormatPr defaultColWidth="0" defaultRowHeight="0" customHeight="1" zeroHeight="1" x14ac:dyDescent="0.2"/>
  <cols>
    <col min="1" max="1" width="5" style="2" customWidth="1"/>
    <col min="2" max="2" width="31.625" style="1" customWidth="1"/>
    <col min="3" max="4" width="18.625" style="1" customWidth="1"/>
    <col min="5" max="5" width="19.125" style="1" customWidth="1"/>
    <col min="6" max="6" width="18.5" style="1" hidden="1" customWidth="1"/>
    <col min="7" max="7" width="9.375" style="1" hidden="1" customWidth="1"/>
    <col min="8" max="15" width="8.625" style="1" hidden="1" customWidth="1"/>
    <col min="16" max="16380" width="8.625" style="1" customWidth="1"/>
    <col min="16381" max="16381" width="0.125" style="1" customWidth="1"/>
    <col min="16382" max="16382" width="6.125" style="1" customWidth="1"/>
    <col min="16383" max="16383" width="23.125" style="1" customWidth="1"/>
    <col min="16384" max="16384" width="29" style="1" customWidth="1"/>
  </cols>
  <sheetData>
    <row r="1" spans="1:6" ht="18" x14ac:dyDescent="0.2">
      <c r="A1" s="559" t="s">
        <v>447</v>
      </c>
      <c r="B1" s="559"/>
      <c r="C1" s="559"/>
      <c r="D1" s="559"/>
      <c r="E1" s="559"/>
    </row>
    <row r="2" spans="1:6" ht="6.75" customHeight="1" x14ac:dyDescent="0.2">
      <c r="A2" s="137"/>
      <c r="B2" s="137"/>
      <c r="C2" s="137"/>
      <c r="D2" s="137"/>
      <c r="E2" s="137"/>
    </row>
    <row r="3" spans="1:6" ht="12.75" x14ac:dyDescent="0.2">
      <c r="A3" s="3" t="s">
        <v>446</v>
      </c>
      <c r="B3" s="71" t="s">
        <v>445</v>
      </c>
      <c r="C3" s="71"/>
      <c r="D3" s="71"/>
      <c r="E3" s="71"/>
    </row>
    <row r="4" spans="1:6" ht="23.1" customHeight="1" x14ac:dyDescent="0.2">
      <c r="B4" s="554"/>
      <c r="C4" s="554"/>
      <c r="D4" s="554"/>
      <c r="E4" s="554"/>
    </row>
    <row r="5" spans="1:6" ht="12.75" x14ac:dyDescent="0.2">
      <c r="B5" s="48"/>
      <c r="C5" s="48"/>
      <c r="D5" s="48"/>
      <c r="E5" s="48"/>
    </row>
    <row r="6" spans="1:6" s="24" customFormat="1" ht="27.75" customHeight="1" x14ac:dyDescent="0.25">
      <c r="A6" s="2"/>
      <c r="B6" s="776" t="s">
        <v>1956</v>
      </c>
      <c r="C6" s="776"/>
      <c r="D6" s="776"/>
      <c r="E6" s="776"/>
    </row>
    <row r="7" spans="1:6" ht="14.25" customHeight="1" x14ac:dyDescent="0.2">
      <c r="B7" s="24"/>
      <c r="C7" s="24"/>
      <c r="D7" s="24"/>
      <c r="E7" s="24"/>
    </row>
    <row r="8" spans="1:6" s="169" customFormat="1" ht="12" customHeight="1" x14ac:dyDescent="0.25">
      <c r="A8" s="60"/>
      <c r="B8" s="769" t="s">
        <v>1957</v>
      </c>
      <c r="C8" s="769"/>
      <c r="D8" s="769"/>
      <c r="E8" s="769"/>
    </row>
    <row r="9" spans="1:6" s="169" customFormat="1" ht="13.5" customHeight="1" x14ac:dyDescent="0.25">
      <c r="A9" s="2"/>
      <c r="B9" s="769"/>
      <c r="C9" s="769"/>
      <c r="D9" s="769"/>
      <c r="E9" s="769"/>
    </row>
    <row r="10" spans="1:6" s="169" customFormat="1" ht="21.95" customHeight="1" x14ac:dyDescent="0.25">
      <c r="A10" s="2"/>
      <c r="B10" s="769"/>
      <c r="C10" s="769"/>
      <c r="D10" s="769"/>
      <c r="E10" s="769"/>
    </row>
    <row r="11" spans="1:6" ht="12.75" x14ac:dyDescent="0.2">
      <c r="B11" s="775"/>
      <c r="C11" s="775"/>
      <c r="D11" s="775"/>
      <c r="E11" s="775"/>
      <c r="F11" s="267" t="b">
        <v>0</v>
      </c>
    </row>
    <row r="12" spans="1:6" ht="12.75" x14ac:dyDescent="0.2">
      <c r="A12" s="3"/>
      <c r="B12" s="3"/>
      <c r="C12" s="3"/>
      <c r="D12" s="3"/>
      <c r="E12" s="3"/>
    </row>
    <row r="13" spans="1:6" ht="14.25" customHeight="1" x14ac:dyDescent="0.2">
      <c r="A13" s="3" t="s">
        <v>440</v>
      </c>
      <c r="B13" s="766" t="s">
        <v>444</v>
      </c>
      <c r="C13" s="561"/>
      <c r="D13" s="561"/>
      <c r="E13" s="561"/>
    </row>
    <row r="14" spans="1:6" ht="39" customHeight="1" x14ac:dyDescent="0.2">
      <c r="A14" s="3"/>
      <c r="B14" s="767" t="s">
        <v>1958</v>
      </c>
      <c r="C14" s="767"/>
      <c r="D14" s="767"/>
      <c r="E14" s="767"/>
    </row>
    <row r="15" spans="1:6" s="766" customFormat="1" ht="28.5" customHeight="1" x14ac:dyDescent="0.25">
      <c r="A15" s="3"/>
    </row>
    <row r="16" spans="1:6" s="766" customFormat="1" ht="15" customHeight="1" x14ac:dyDescent="0.25">
      <c r="A16" s="3"/>
      <c r="B16" s="767" t="s">
        <v>443</v>
      </c>
    </row>
    <row r="17" spans="1:5" s="766" customFormat="1" ht="28.5" customHeight="1" x14ac:dyDescent="0.25">
      <c r="A17" s="3"/>
      <c r="B17" s="766" t="s">
        <v>442</v>
      </c>
    </row>
    <row r="18" spans="1:5" s="767" customFormat="1" ht="14.25" customHeight="1" x14ac:dyDescent="0.25">
      <c r="A18" s="3"/>
      <c r="B18" s="767" t="s">
        <v>441</v>
      </c>
    </row>
    <row r="19" spans="1:5" ht="9.75" customHeight="1" x14ac:dyDescent="0.2">
      <c r="A19" s="3"/>
      <c r="C19" s="47"/>
      <c r="D19" s="3"/>
      <c r="E19" s="3"/>
    </row>
    <row r="20" spans="1:5" ht="12.75" x14ac:dyDescent="0.2">
      <c r="A20" s="3" t="s">
        <v>440</v>
      </c>
      <c r="B20" s="63"/>
      <c r="C20" s="136" t="s">
        <v>439</v>
      </c>
      <c r="D20" s="136" t="s">
        <v>387</v>
      </c>
    </row>
    <row r="21" spans="1:5" ht="12.75" x14ac:dyDescent="0.2">
      <c r="A21" s="3"/>
      <c r="B21" s="17" t="s">
        <v>438</v>
      </c>
      <c r="C21" s="88"/>
      <c r="D21" s="88"/>
    </row>
    <row r="22" spans="1:5" ht="12.75" x14ac:dyDescent="0.2">
      <c r="A22" s="3"/>
      <c r="B22" s="133" t="s">
        <v>437</v>
      </c>
      <c r="C22" s="270">
        <v>0</v>
      </c>
      <c r="D22" s="270">
        <v>0</v>
      </c>
    </row>
    <row r="23" spans="1:5" ht="12.75" x14ac:dyDescent="0.2">
      <c r="A23" s="3"/>
      <c r="B23" s="135" t="s">
        <v>436</v>
      </c>
      <c r="C23" s="134"/>
      <c r="D23" s="134"/>
    </row>
    <row r="24" spans="1:5" ht="12.75" x14ac:dyDescent="0.2">
      <c r="A24" s="3"/>
      <c r="B24" s="133" t="s">
        <v>435</v>
      </c>
      <c r="C24" s="270">
        <v>0</v>
      </c>
      <c r="D24" s="270">
        <v>0</v>
      </c>
    </row>
    <row r="25" spans="1:5" ht="12.75" x14ac:dyDescent="0.2">
      <c r="A25" s="3"/>
      <c r="B25" s="133" t="s">
        <v>434</v>
      </c>
      <c r="C25" s="270">
        <v>0</v>
      </c>
      <c r="D25" s="270">
        <v>0</v>
      </c>
    </row>
    <row r="26" spans="1:5" ht="12.75" x14ac:dyDescent="0.2">
      <c r="A26" s="3"/>
      <c r="B26" s="133" t="s">
        <v>433</v>
      </c>
      <c r="C26" s="270">
        <v>0</v>
      </c>
      <c r="D26" s="270">
        <v>0</v>
      </c>
    </row>
    <row r="27" spans="1:5" ht="12.75" x14ac:dyDescent="0.2">
      <c r="A27" s="3"/>
      <c r="B27" s="129" t="s">
        <v>432</v>
      </c>
      <c r="C27" s="270">
        <v>0</v>
      </c>
      <c r="D27" s="270">
        <v>0</v>
      </c>
    </row>
    <row r="28" spans="1:5" ht="12.75" x14ac:dyDescent="0.2">
      <c r="A28" s="3"/>
      <c r="B28" s="132" t="s">
        <v>431</v>
      </c>
      <c r="C28" s="131"/>
      <c r="D28" s="130"/>
    </row>
    <row r="29" spans="1:5" ht="12.75" x14ac:dyDescent="0.2">
      <c r="A29" s="3"/>
      <c r="B29" s="129" t="s">
        <v>430</v>
      </c>
      <c r="C29" s="270">
        <v>0</v>
      </c>
      <c r="D29" s="270">
        <v>0</v>
      </c>
    </row>
    <row r="30" spans="1:5" ht="12.75" x14ac:dyDescent="0.2">
      <c r="A30" s="3"/>
      <c r="B30" s="129" t="s">
        <v>429</v>
      </c>
      <c r="C30" s="270">
        <v>0</v>
      </c>
      <c r="D30" s="270">
        <v>0</v>
      </c>
    </row>
    <row r="31" spans="1:5" ht="12.75" x14ac:dyDescent="0.2">
      <c r="A31" s="3"/>
      <c r="B31" s="129" t="s">
        <v>428</v>
      </c>
      <c r="C31" s="270">
        <v>0</v>
      </c>
      <c r="D31" s="270">
        <v>0</v>
      </c>
    </row>
    <row r="32" spans="1:5" ht="15" customHeight="1" x14ac:dyDescent="0.2">
      <c r="A32" s="3"/>
      <c r="B32" s="129" t="s">
        <v>427</v>
      </c>
      <c r="C32" s="270">
        <v>0</v>
      </c>
      <c r="D32" s="270">
        <v>0</v>
      </c>
    </row>
    <row r="33" spans="1:8" ht="9" customHeight="1" x14ac:dyDescent="0.2"/>
    <row r="34" spans="1:8" ht="26.25" customHeight="1" x14ac:dyDescent="0.2">
      <c r="A34" s="3"/>
      <c r="B34" s="768" t="s">
        <v>426</v>
      </c>
      <c r="C34" s="768"/>
      <c r="D34" s="768"/>
      <c r="E34" s="271"/>
    </row>
    <row r="35" spans="1:8" ht="12.75" x14ac:dyDescent="0.2">
      <c r="A35" s="3"/>
      <c r="B35" s="5"/>
      <c r="C35" s="5"/>
      <c r="D35" s="50"/>
    </row>
    <row r="36" spans="1:8" ht="12.75" x14ac:dyDescent="0.2">
      <c r="A36" s="3"/>
      <c r="B36" s="128" t="s">
        <v>425</v>
      </c>
      <c r="C36" s="770"/>
      <c r="D36" s="770"/>
      <c r="E36" s="770"/>
    </row>
    <row r="37" spans="1:8" s="561" customFormat="1" ht="12.75" x14ac:dyDescent="0.25">
      <c r="A37" s="3"/>
    </row>
    <row r="38" spans="1:8" ht="12.75" x14ac:dyDescent="0.2">
      <c r="B38" s="719"/>
      <c r="C38" s="560"/>
      <c r="D38" s="127" t="s">
        <v>424</v>
      </c>
      <c r="E38" s="127" t="s">
        <v>423</v>
      </c>
    </row>
    <row r="39" spans="1:8" ht="25.5" customHeight="1" x14ac:dyDescent="0.2">
      <c r="A39" s="3" t="s">
        <v>422</v>
      </c>
      <c r="B39" s="771" t="s">
        <v>421</v>
      </c>
      <c r="C39" s="772"/>
      <c r="D39" s="244" t="s">
        <v>603</v>
      </c>
      <c r="E39" s="244" t="s">
        <v>603</v>
      </c>
    </row>
    <row r="40" spans="1:8" ht="12.75" x14ac:dyDescent="0.2"/>
    <row r="41" spans="1:8" ht="21" customHeight="1" x14ac:dyDescent="0.2">
      <c r="B41" s="719"/>
      <c r="C41" s="560"/>
      <c r="D41" s="175" t="s">
        <v>1147</v>
      </c>
      <c r="E41" s="60"/>
    </row>
    <row r="42" spans="1:8" ht="27.75" customHeight="1" x14ac:dyDescent="0.2">
      <c r="A42" s="3" t="s">
        <v>420</v>
      </c>
      <c r="B42" s="771" t="s">
        <v>419</v>
      </c>
      <c r="C42" s="772"/>
      <c r="D42" s="272" t="s">
        <v>603</v>
      </c>
      <c r="E42" s="12"/>
      <c r="H42" s="1" t="e" cm="1">
        <f t="array" ref="H42">_xlfn.IFS($D$42="YES", "Yes", $D$42="yes", "Yes", $D$42="Yes", "Yes", $D$42="NO", "No", $D$42="no", "No", $D$42="No", "No")</f>
        <v>#N/A</v>
      </c>
    </row>
    <row r="43" spans="1:8" ht="28.5" customHeight="1" x14ac:dyDescent="0.2">
      <c r="A43" s="3" t="s">
        <v>418</v>
      </c>
      <c r="B43" s="561" t="s">
        <v>417</v>
      </c>
      <c r="C43" s="561"/>
      <c r="D43" s="272" t="s">
        <v>603</v>
      </c>
      <c r="E43" s="12"/>
      <c r="H43" s="1" t="e" cm="1">
        <f t="array" ref="H43">_xlfn.IFS($D$43="YES", "Yes", $D$43="yes", "Yes", $D$43="Yes", "Yes", $D$43="NO", "No", $D$43="no", "No", $D$43="No", "No")</f>
        <v>#N/A</v>
      </c>
    </row>
    <row r="44" spans="1:8" ht="28.5" customHeight="1" x14ac:dyDescent="0.2">
      <c r="A44" s="3"/>
      <c r="B44" s="773" t="s">
        <v>416</v>
      </c>
      <c r="C44" s="773"/>
      <c r="D44" s="273" t="s">
        <v>603</v>
      </c>
      <c r="E44" s="12"/>
    </row>
    <row r="45" spans="1:8" ht="12.75" x14ac:dyDescent="0.2">
      <c r="B45" s="560"/>
      <c r="C45" s="560"/>
      <c r="D45" s="560"/>
      <c r="E45" s="560"/>
    </row>
    <row r="46" spans="1:8" ht="19.5" customHeight="1" x14ac:dyDescent="0.2">
      <c r="A46" s="3" t="s">
        <v>415</v>
      </c>
      <c r="B46" s="759" t="s">
        <v>414</v>
      </c>
      <c r="C46" s="759"/>
      <c r="D46" s="759"/>
      <c r="E46" s="759"/>
    </row>
    <row r="47" spans="1:8" ht="25.5" x14ac:dyDescent="0.2">
      <c r="A47" s="3"/>
      <c r="B47" s="22"/>
      <c r="C47" s="14" t="s">
        <v>413</v>
      </c>
      <c r="D47" s="14" t="s">
        <v>412</v>
      </c>
      <c r="E47" s="14" t="s">
        <v>411</v>
      </c>
    </row>
    <row r="48" spans="1:8" ht="12.75" x14ac:dyDescent="0.2">
      <c r="A48" s="3"/>
      <c r="B48" s="63" t="s">
        <v>410</v>
      </c>
      <c r="C48" s="274">
        <v>0</v>
      </c>
      <c r="D48" s="274">
        <v>0</v>
      </c>
      <c r="E48" s="274">
        <v>0</v>
      </c>
    </row>
    <row r="49" spans="1:5" ht="12.75" x14ac:dyDescent="0.2">
      <c r="A49" s="3"/>
      <c r="B49" s="63" t="s">
        <v>409</v>
      </c>
      <c r="C49" s="124"/>
      <c r="D49" s="124"/>
      <c r="E49" s="274">
        <v>0</v>
      </c>
    </row>
    <row r="50" spans="1:5" ht="12.75" x14ac:dyDescent="0.2">
      <c r="A50" s="3"/>
      <c r="B50" s="63" t="s">
        <v>408</v>
      </c>
      <c r="C50" s="124"/>
      <c r="D50" s="274">
        <v>0</v>
      </c>
      <c r="E50" s="274">
        <v>0</v>
      </c>
    </row>
    <row r="51" spans="1:5" ht="12.75" x14ac:dyDescent="0.2">
      <c r="A51" s="3"/>
      <c r="B51" s="125" t="s">
        <v>407</v>
      </c>
      <c r="C51" s="124"/>
      <c r="D51" s="124"/>
      <c r="E51" s="274">
        <v>0</v>
      </c>
    </row>
    <row r="52" spans="1:5" ht="12.75" x14ac:dyDescent="0.2">
      <c r="A52" s="3"/>
      <c r="B52" s="63" t="s">
        <v>406</v>
      </c>
      <c r="C52" s="274">
        <v>0</v>
      </c>
      <c r="D52" s="274">
        <v>0</v>
      </c>
      <c r="E52" s="274">
        <v>0</v>
      </c>
    </row>
    <row r="53" spans="1:5" ht="12.75" x14ac:dyDescent="0.2">
      <c r="A53" s="3"/>
      <c r="B53" s="63" t="s">
        <v>405</v>
      </c>
      <c r="C53" s="274">
        <v>0</v>
      </c>
      <c r="D53" s="274">
        <v>0</v>
      </c>
      <c r="E53" s="274">
        <v>0</v>
      </c>
    </row>
    <row r="54" spans="1:5" ht="12.6" customHeight="1" x14ac:dyDescent="0.2">
      <c r="B54" s="774" t="s">
        <v>404</v>
      </c>
      <c r="C54" s="774"/>
      <c r="D54" s="774"/>
      <c r="E54" s="774"/>
    </row>
    <row r="55" spans="1:5" ht="12.75" x14ac:dyDescent="0.2"/>
    <row r="56" spans="1:5" ht="12.75" x14ac:dyDescent="0.2">
      <c r="A56" s="3" t="s">
        <v>403</v>
      </c>
      <c r="B56" s="759" t="s">
        <v>402</v>
      </c>
      <c r="C56" s="759"/>
    </row>
    <row r="57" spans="1:5" ht="12.75" x14ac:dyDescent="0.2">
      <c r="A57" s="3"/>
      <c r="B57" s="122" t="s">
        <v>401</v>
      </c>
      <c r="C57" s="275"/>
    </row>
    <row r="58" spans="1:5" ht="12.75" x14ac:dyDescent="0.2">
      <c r="A58" s="3"/>
      <c r="B58" s="122" t="s">
        <v>400</v>
      </c>
      <c r="C58" s="121"/>
    </row>
    <row r="59" spans="1:5" ht="12.75" x14ac:dyDescent="0.2">
      <c r="A59" s="3"/>
      <c r="B59" s="123" t="s">
        <v>399</v>
      </c>
      <c r="C59" s="275">
        <v>0</v>
      </c>
    </row>
    <row r="60" spans="1:5" ht="12.75" x14ac:dyDescent="0.2">
      <c r="A60" s="3"/>
      <c r="B60" s="123" t="s">
        <v>398</v>
      </c>
      <c r="C60" s="275">
        <v>0</v>
      </c>
    </row>
    <row r="61" spans="1:5" ht="12.75" x14ac:dyDescent="0.2">
      <c r="A61" s="3"/>
      <c r="B61" s="123" t="s">
        <v>397</v>
      </c>
      <c r="C61" s="275">
        <v>0</v>
      </c>
    </row>
    <row r="62" spans="1:5" ht="12.75" x14ac:dyDescent="0.2">
      <c r="A62" s="3"/>
      <c r="B62" s="122" t="s">
        <v>396</v>
      </c>
      <c r="C62" s="275">
        <v>0</v>
      </c>
    </row>
    <row r="63" spans="1:5" ht="12.75" x14ac:dyDescent="0.2"/>
    <row r="64" spans="1:5" ht="12.75" x14ac:dyDescent="0.2"/>
    <row r="65" spans="2:5" ht="12.75" x14ac:dyDescent="0.2">
      <c r="B65" s="226"/>
      <c r="C65" s="226"/>
      <c r="D65" s="226"/>
      <c r="E65" s="226"/>
    </row>
    <row r="66" spans="2:5" ht="12.75" x14ac:dyDescent="0.2">
      <c r="B66" s="226"/>
      <c r="C66" s="226"/>
      <c r="D66" s="226"/>
      <c r="E66" s="226"/>
    </row>
    <row r="67" spans="2:5" ht="12.75" x14ac:dyDescent="0.2">
      <c r="B67" s="226"/>
      <c r="C67" s="226"/>
      <c r="D67" s="226"/>
      <c r="E67" s="226"/>
    </row>
    <row r="68" spans="2:5" ht="12.75" x14ac:dyDescent="0.2">
      <c r="B68" s="226"/>
      <c r="C68" s="226"/>
      <c r="D68" s="226"/>
      <c r="E68" s="226"/>
    </row>
    <row r="69" spans="2:5" ht="12.75" x14ac:dyDescent="0.2">
      <c r="B69" s="226"/>
      <c r="C69" s="226"/>
      <c r="D69" s="226"/>
      <c r="E69" s="226"/>
    </row>
    <row r="70" spans="2:5" ht="12.75" x14ac:dyDescent="0.2">
      <c r="B70" s="226"/>
      <c r="C70" s="226"/>
      <c r="D70" s="226"/>
      <c r="E70" s="226"/>
    </row>
    <row r="71" spans="2:5" ht="12.75" x14ac:dyDescent="0.2">
      <c r="B71" s="226"/>
      <c r="C71" s="226"/>
      <c r="D71" s="226"/>
      <c r="E71" s="226"/>
    </row>
    <row r="72" spans="2:5" ht="12.75" x14ac:dyDescent="0.2"/>
    <row r="73" spans="2:5" ht="12.75" x14ac:dyDescent="0.2"/>
    <row r="74" spans="2:5" ht="12.75" x14ac:dyDescent="0.2"/>
    <row r="75" spans="2:5" ht="12.75" x14ac:dyDescent="0.2"/>
    <row r="76" spans="2:5" ht="12.75" x14ac:dyDescent="0.2"/>
    <row r="77" spans="2:5" ht="12.75" x14ac:dyDescent="0.2"/>
  </sheetData>
  <sheetProtection algorithmName="SHA-512" hashValue="7YMDYbytCQ35feN4y/tqlzWfu5/7eOv8OxWrNzOj9hIYmiMHxIES+RlAETPhv+cRN573fSdaqfVc/EvqoqA0ow==" saltValue="pBLGqRR//Bt+epDUElc18Q==" spinCount="100000" sheet="1" objects="1" scenarios="1"/>
  <mergeCells count="24">
    <mergeCell ref="B13:E13"/>
    <mergeCell ref="B14:E14"/>
    <mergeCell ref="B15:XFD15"/>
    <mergeCell ref="B16:XFD16"/>
    <mergeCell ref="A1:E1"/>
    <mergeCell ref="B4:E4"/>
    <mergeCell ref="B11:E11"/>
    <mergeCell ref="B6:E6"/>
    <mergeCell ref="B17:XFD17"/>
    <mergeCell ref="B18:XFD18"/>
    <mergeCell ref="B34:D34"/>
    <mergeCell ref="B8:E10"/>
    <mergeCell ref="B56:C56"/>
    <mergeCell ref="C36:E36"/>
    <mergeCell ref="B37:XFD37"/>
    <mergeCell ref="B38:C38"/>
    <mergeCell ref="B39:C39"/>
    <mergeCell ref="B41:C41"/>
    <mergeCell ref="B42:C42"/>
    <mergeCell ref="B43:C43"/>
    <mergeCell ref="B44:C44"/>
    <mergeCell ref="B45:E45"/>
    <mergeCell ref="B46:E46"/>
    <mergeCell ref="B54:E54"/>
  </mergeCells>
  <dataValidations count="1">
    <dataValidation type="textLength" operator="lessThanOrEqual" allowBlank="1" showInputMessage="1" showErrorMessage="1" sqref="D42 D43" xr:uid="{00000000-0002-0000-0700-000000000000}">
      <formula1>3</formula1>
    </dataValidation>
  </dataValidations>
  <pageMargins left="0.75" right="0.75" top="1" bottom="1" header="0.5" footer="0.5"/>
  <pageSetup scale="75" orientation="portrait" r:id="rId1"/>
  <headerFooter alignWithMargins="0">
    <oddHeader xml:space="preserve">&amp;LCommon Data Set 2021-2022
</oddHeader>
    <oddFooter>&amp;LCDS-G&amp;RPage &amp;P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218" r:id="rId4" name="Check Box 2">
              <controlPr defaultSize="0" autoFill="0" autoLine="0" autoPict="0">
                <anchor moveWithCells="1">
                  <from>
                    <xdr:col>0</xdr:col>
                    <xdr:colOff>104775</xdr:colOff>
                    <xdr:row>7</xdr:row>
                    <xdr:rowOff>0</xdr:rowOff>
                  </from>
                  <to>
                    <xdr:col>1</xdr:col>
                    <xdr:colOff>409575</xdr:colOff>
                    <xdr:row>8</xdr:row>
                    <xdr:rowOff>47625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
  <dimension ref="A1:XFD236"/>
  <sheetViews>
    <sheetView showGridLines="0" showRowColHeaders="0" showRuler="0" topLeftCell="A217" zoomScale="110" zoomScaleNormal="110" workbookViewId="0">
      <selection activeCell="F213" sqref="F213"/>
    </sheetView>
  </sheetViews>
  <sheetFormatPr defaultColWidth="0" defaultRowHeight="12.6" customHeight="1" zeroHeight="1" x14ac:dyDescent="0.2"/>
  <cols>
    <col min="1" max="1" width="4.625" style="2" customWidth="1"/>
    <col min="2" max="2" width="8.125" style="1" customWidth="1"/>
    <col min="3" max="3" width="40.875" style="1" customWidth="1"/>
    <col min="4" max="4" width="15" style="1" customWidth="1"/>
    <col min="5" max="5" width="14.875" style="1" customWidth="1"/>
    <col min="6" max="6" width="23.125" style="1" customWidth="1"/>
    <col min="7" max="7" width="27.125" style="1" hidden="1" customWidth="1"/>
    <col min="8" max="13" width="10.875" style="1" hidden="1" customWidth="1"/>
    <col min="14" max="16381" width="10.875" style="1" customWidth="1"/>
    <col min="16382" max="16382" width="5" style="1" customWidth="1"/>
    <col min="16383" max="16383" width="8" style="1" customWidth="1"/>
    <col min="16384" max="16384" width="9.5" style="1" customWidth="1"/>
  </cols>
  <sheetData>
    <row r="1" spans="1:6" ht="18" x14ac:dyDescent="0.2">
      <c r="A1" s="559" t="s">
        <v>0</v>
      </c>
      <c r="B1" s="559"/>
      <c r="C1" s="559"/>
      <c r="D1" s="559"/>
      <c r="E1" s="559"/>
      <c r="F1" s="559"/>
    </row>
    <row r="2" spans="1:6" ht="12.75" x14ac:dyDescent="0.2"/>
    <row r="3" spans="1:6" ht="15" x14ac:dyDescent="0.2">
      <c r="B3" s="777" t="s">
        <v>1</v>
      </c>
      <c r="C3" s="777"/>
      <c r="D3" s="777"/>
      <c r="E3" s="777"/>
      <c r="F3" s="777"/>
    </row>
    <row r="4" spans="1:6" ht="8.25" customHeight="1" x14ac:dyDescent="0.2">
      <c r="A4" s="3"/>
      <c r="B4" s="767"/>
      <c r="C4" s="561"/>
      <c r="D4" s="561"/>
      <c r="E4" s="561"/>
      <c r="F4" s="561"/>
    </row>
    <row r="5" spans="1:6" ht="20.25" customHeight="1" x14ac:dyDescent="0.2">
      <c r="A5" s="3"/>
      <c r="B5" s="767" t="s">
        <v>2</v>
      </c>
      <c r="C5" s="767"/>
      <c r="D5" s="767"/>
      <c r="E5" s="767"/>
      <c r="F5" s="767"/>
    </row>
    <row r="6" spans="1:6" ht="32.25" customHeight="1" x14ac:dyDescent="0.2">
      <c r="A6" s="3"/>
      <c r="B6" s="767" t="s">
        <v>3</v>
      </c>
      <c r="C6" s="767"/>
      <c r="D6" s="767"/>
      <c r="E6" s="767"/>
      <c r="F6" s="767"/>
    </row>
    <row r="7" spans="1:6" ht="44.25" customHeight="1" x14ac:dyDescent="0.2">
      <c r="A7" s="3"/>
      <c r="B7" s="767" t="s">
        <v>4</v>
      </c>
      <c r="C7" s="767"/>
      <c r="D7" s="767"/>
      <c r="E7" s="767"/>
      <c r="F7" s="767"/>
    </row>
    <row r="8" spans="1:6" ht="30.75" customHeight="1" x14ac:dyDescent="0.2">
      <c r="A8" s="3"/>
      <c r="B8" s="767" t="s">
        <v>5</v>
      </c>
      <c r="C8" s="767"/>
      <c r="D8" s="767"/>
      <c r="E8" s="767"/>
      <c r="F8" s="767"/>
    </row>
    <row r="9" spans="1:6" ht="28.5" customHeight="1" x14ac:dyDescent="0.2">
      <c r="A9" s="3"/>
      <c r="B9" s="767" t="s">
        <v>6</v>
      </c>
      <c r="C9" s="767"/>
      <c r="D9" s="767"/>
      <c r="E9" s="767"/>
      <c r="F9" s="767"/>
    </row>
    <row r="10" spans="1:6" ht="44.25" customHeight="1" x14ac:dyDescent="0.2">
      <c r="A10" s="3"/>
      <c r="B10" s="767" t="s">
        <v>7</v>
      </c>
      <c r="C10" s="767"/>
      <c r="D10" s="767"/>
      <c r="E10" s="767"/>
      <c r="F10" s="767"/>
    </row>
    <row r="11" spans="1:6" ht="31.5" customHeight="1" x14ac:dyDescent="0.2">
      <c r="A11" s="3"/>
      <c r="B11" s="767" t="s">
        <v>8</v>
      </c>
      <c r="C11" s="767"/>
      <c r="D11" s="767"/>
      <c r="E11" s="767"/>
      <c r="F11" s="767"/>
    </row>
    <row r="12" spans="1:6" ht="31.5" customHeight="1" x14ac:dyDescent="0.2">
      <c r="A12" s="3"/>
      <c r="B12" s="767" t="s">
        <v>9</v>
      </c>
      <c r="C12" s="767"/>
      <c r="D12" s="767"/>
      <c r="E12" s="767"/>
      <c r="F12" s="767"/>
    </row>
    <row r="13" spans="1:6" ht="65.25" customHeight="1" x14ac:dyDescent="0.2">
      <c r="A13" s="3"/>
      <c r="B13" s="767" t="s">
        <v>10</v>
      </c>
      <c r="C13" s="767"/>
      <c r="D13" s="767"/>
      <c r="E13" s="767"/>
      <c r="F13" s="767"/>
    </row>
    <row r="14" spans="1:6" ht="13.5" customHeight="1" x14ac:dyDescent="0.2">
      <c r="A14" s="3"/>
      <c r="B14" s="778" t="s">
        <v>11</v>
      </c>
      <c r="C14" s="778"/>
      <c r="D14" s="778"/>
      <c r="E14" s="778"/>
      <c r="F14" s="778"/>
    </row>
    <row r="15" spans="1:6" ht="13.5" customHeight="1" x14ac:dyDescent="0.2">
      <c r="A15" s="3"/>
      <c r="B15" s="4"/>
      <c r="C15" s="6" t="s">
        <v>12</v>
      </c>
      <c r="D15" s="767" t="s">
        <v>13</v>
      </c>
      <c r="E15" s="767"/>
      <c r="F15" s="4"/>
    </row>
    <row r="16" spans="1:6" ht="13.5" customHeight="1" x14ac:dyDescent="0.2">
      <c r="A16" s="3"/>
      <c r="B16" s="4"/>
      <c r="C16" s="6" t="s">
        <v>14</v>
      </c>
      <c r="D16" s="767" t="s">
        <v>15</v>
      </c>
      <c r="E16" s="767"/>
      <c r="F16" s="4"/>
    </row>
    <row r="17" spans="1:6" ht="13.5" customHeight="1" x14ac:dyDescent="0.2">
      <c r="A17" s="3"/>
      <c r="B17" s="4"/>
      <c r="C17" s="6" t="s">
        <v>16</v>
      </c>
      <c r="D17" s="767" t="s">
        <v>17</v>
      </c>
      <c r="E17" s="767"/>
      <c r="F17" s="4"/>
    </row>
    <row r="18" spans="1:6" ht="12.75" customHeight="1" x14ac:dyDescent="0.2">
      <c r="A18" s="3"/>
      <c r="B18" s="4"/>
      <c r="C18" s="6" t="s">
        <v>18</v>
      </c>
      <c r="D18" s="767" t="s">
        <v>19</v>
      </c>
      <c r="E18" s="767"/>
      <c r="F18" s="4"/>
    </row>
    <row r="19" spans="1:6" ht="18.75" customHeight="1" x14ac:dyDescent="0.2">
      <c r="A19" s="3"/>
      <c r="B19" s="4"/>
      <c r="C19" s="6" t="s">
        <v>20</v>
      </c>
      <c r="D19" s="4"/>
      <c r="E19" s="4"/>
      <c r="F19" s="4"/>
    </row>
    <row r="20" spans="1:6" ht="31.5" customHeight="1" x14ac:dyDescent="0.2">
      <c r="A20" s="3"/>
      <c r="B20" s="767" t="s">
        <v>21</v>
      </c>
      <c r="C20" s="767"/>
      <c r="D20" s="767"/>
      <c r="E20" s="767"/>
      <c r="F20" s="767"/>
    </row>
    <row r="21" spans="1:6" ht="32.25" customHeight="1" x14ac:dyDescent="0.2">
      <c r="A21" s="3"/>
      <c r="B21" s="767" t="s">
        <v>22</v>
      </c>
      <c r="C21" s="767"/>
      <c r="D21" s="767"/>
      <c r="E21" s="767"/>
      <c r="F21" s="767"/>
    </row>
    <row r="22" spans="1:6" ht="39.75" customHeight="1" x14ac:dyDescent="0.2">
      <c r="A22" s="3"/>
      <c r="B22" s="767" t="s">
        <v>23</v>
      </c>
      <c r="C22" s="767"/>
      <c r="D22" s="767"/>
      <c r="E22" s="767"/>
      <c r="F22" s="767"/>
    </row>
    <row r="23" spans="1:6" ht="25.5" customHeight="1" x14ac:dyDescent="0.2">
      <c r="A23" s="3"/>
      <c r="B23" s="767" t="s">
        <v>24</v>
      </c>
      <c r="C23" s="767"/>
      <c r="D23" s="767"/>
      <c r="E23" s="767"/>
      <c r="F23" s="767"/>
    </row>
    <row r="24" spans="1:6" ht="12.75" customHeight="1" x14ac:dyDescent="0.2">
      <c r="A24" s="3"/>
      <c r="B24" s="4"/>
      <c r="C24" s="4"/>
      <c r="D24" s="4"/>
      <c r="E24" s="4"/>
      <c r="F24" s="4"/>
    </row>
    <row r="25" spans="1:6" ht="13.5" customHeight="1" x14ac:dyDescent="0.2">
      <c r="A25" s="3"/>
      <c r="B25" s="779" t="s">
        <v>25</v>
      </c>
      <c r="C25" s="779"/>
      <c r="D25" s="779"/>
      <c r="E25" s="779"/>
      <c r="F25" s="779"/>
    </row>
    <row r="26" spans="1:6" ht="13.5" customHeight="1" x14ac:dyDescent="0.2">
      <c r="A26" s="3"/>
      <c r="B26" s="7"/>
      <c r="C26" s="7"/>
      <c r="D26" s="7"/>
      <c r="E26" s="7"/>
      <c r="F26" s="7"/>
    </row>
    <row r="27" spans="1:6" ht="15" x14ac:dyDescent="0.2">
      <c r="A27" s="3"/>
      <c r="B27" s="780" t="s">
        <v>26</v>
      </c>
      <c r="C27" s="781"/>
      <c r="D27" s="781"/>
      <c r="E27" s="781"/>
      <c r="F27" s="781"/>
    </row>
    <row r="28" spans="1:6" ht="12.75" x14ac:dyDescent="0.2">
      <c r="A28" s="3"/>
      <c r="B28" s="782"/>
      <c r="C28" s="782"/>
      <c r="D28" s="782"/>
      <c r="E28" s="782"/>
      <c r="F28" s="782"/>
    </row>
    <row r="29" spans="1:6" ht="43.5" customHeight="1" x14ac:dyDescent="0.2">
      <c r="A29" s="3" t="s">
        <v>27</v>
      </c>
      <c r="B29" s="767" t="s">
        <v>28</v>
      </c>
      <c r="C29" s="767"/>
      <c r="D29" s="767"/>
      <c r="E29" s="767"/>
      <c r="F29" s="767"/>
    </row>
    <row r="30" spans="1:6" ht="27" customHeight="1" x14ac:dyDescent="0.2">
      <c r="A30" s="3"/>
      <c r="B30" s="767" t="s">
        <v>1552</v>
      </c>
      <c r="C30" s="767"/>
      <c r="D30" s="767"/>
      <c r="E30" s="767"/>
      <c r="F30" s="767"/>
    </row>
    <row r="31" spans="1:6" ht="12.75" x14ac:dyDescent="0.2">
      <c r="A31" s="3"/>
      <c r="B31" s="767" t="s">
        <v>29</v>
      </c>
      <c r="C31" s="767"/>
      <c r="D31" s="767"/>
      <c r="E31" s="767"/>
      <c r="F31" s="767"/>
    </row>
    <row r="32" spans="1:6" ht="27" customHeight="1" x14ac:dyDescent="0.2">
      <c r="A32" s="3"/>
      <c r="B32" s="767" t="s">
        <v>30</v>
      </c>
      <c r="C32" s="767"/>
      <c r="D32" s="767"/>
      <c r="E32" s="767"/>
      <c r="F32" s="767"/>
    </row>
    <row r="33" spans="1:8" ht="27" customHeight="1" x14ac:dyDescent="0.2">
      <c r="A33" s="3"/>
      <c r="B33" s="767" t="s">
        <v>31</v>
      </c>
      <c r="C33" s="767"/>
      <c r="D33" s="767"/>
      <c r="E33" s="767"/>
      <c r="F33" s="767"/>
    </row>
    <row r="34" spans="1:8" ht="13.5" customHeight="1" x14ac:dyDescent="0.2">
      <c r="A34" s="3"/>
      <c r="B34" s="779" t="s">
        <v>32</v>
      </c>
      <c r="C34" s="779"/>
      <c r="D34" s="779"/>
      <c r="E34" s="779"/>
      <c r="F34" s="779"/>
    </row>
    <row r="35" spans="1:8" ht="12.75" x14ac:dyDescent="0.2">
      <c r="A35" s="3"/>
      <c r="B35" s="4"/>
      <c r="C35" s="5"/>
      <c r="D35" s="5"/>
      <c r="E35" s="5"/>
      <c r="F35" s="5"/>
    </row>
    <row r="36" spans="1:8" ht="25.5" x14ac:dyDescent="0.2">
      <c r="A36" s="3"/>
      <c r="B36" s="767"/>
      <c r="C36" s="561"/>
      <c r="D36" s="561"/>
      <c r="E36" s="8" t="s">
        <v>1553</v>
      </c>
      <c r="F36" s="9" t="s">
        <v>1554</v>
      </c>
    </row>
    <row r="37" spans="1:8" ht="27" customHeight="1" x14ac:dyDescent="0.2">
      <c r="A37" s="3"/>
      <c r="B37" s="795" t="s">
        <v>33</v>
      </c>
      <c r="C37" s="734"/>
      <c r="D37" s="734"/>
      <c r="E37" s="245"/>
      <c r="F37" s="245"/>
    </row>
    <row r="38" spans="1:8" ht="12.75" x14ac:dyDescent="0.2">
      <c r="A38" s="3"/>
      <c r="B38" s="561" t="s">
        <v>34</v>
      </c>
      <c r="C38" s="561"/>
      <c r="D38" s="561"/>
      <c r="E38" s="561"/>
      <c r="F38" s="561"/>
    </row>
    <row r="39" spans="1:8" ht="12.75" x14ac:dyDescent="0.2">
      <c r="A39" s="3"/>
      <c r="B39" s="5"/>
      <c r="C39" s="5"/>
      <c r="D39" s="5"/>
      <c r="E39" s="5"/>
      <c r="F39" s="5"/>
    </row>
    <row r="40" spans="1:8" ht="17.100000000000001" customHeight="1" x14ac:dyDescent="0.2">
      <c r="A40" s="60"/>
      <c r="B40" s="796" t="s">
        <v>35</v>
      </c>
      <c r="C40" s="796"/>
      <c r="D40" s="231" t="b">
        <v>0</v>
      </c>
      <c r="H40" s="1" t="str" cm="1">
        <f t="array" ref="H40">_xlfn.IFS($D$40=TRUE, "Federal Methodoloy (FM)", $D$40=FALSE, "")</f>
        <v/>
      </c>
    </row>
    <row r="41" spans="1:8" ht="17.100000000000001" customHeight="1" x14ac:dyDescent="0.2">
      <c r="A41" s="60"/>
      <c r="B41" s="797" t="s">
        <v>36</v>
      </c>
      <c r="C41" s="797"/>
      <c r="D41" s="231" t="b">
        <v>0</v>
      </c>
      <c r="H41" s="1" t="str" cm="1">
        <f t="array" ref="H41">_xlfn.IFS($D$41=TRUE, "Institutional Methodoloy (IM)",$D$41=FALSE, "")</f>
        <v/>
      </c>
    </row>
    <row r="42" spans="1:8" ht="17.100000000000001" customHeight="1" x14ac:dyDescent="0.2">
      <c r="A42" s="60"/>
      <c r="B42" s="797" t="s">
        <v>37</v>
      </c>
      <c r="C42" s="797"/>
      <c r="D42" s="231" t="b">
        <v>1</v>
      </c>
      <c r="H42" s="1" t="str" cm="1">
        <f t="array" ref="H42">_xlfn.IFS($D$42=TRUE, "Both FM and IM", $D$42=FALSE, "")</f>
        <v>Both FM and IM</v>
      </c>
    </row>
    <row r="43" spans="1:8" ht="12.75" x14ac:dyDescent="0.2"/>
    <row r="44" spans="1:8" ht="51" x14ac:dyDescent="0.2">
      <c r="A44" s="3"/>
      <c r="B44" s="783"/>
      <c r="C44" s="784"/>
      <c r="D44" s="785"/>
      <c r="E44" s="14" t="s">
        <v>38</v>
      </c>
      <c r="F44" s="14" t="s">
        <v>39</v>
      </c>
    </row>
    <row r="45" spans="1:8" ht="12.75" x14ac:dyDescent="0.2">
      <c r="A45" s="3"/>
      <c r="B45" s="15" t="s">
        <v>40</v>
      </c>
      <c r="C45" s="16"/>
      <c r="D45" s="16"/>
      <c r="E45" s="17" t="s">
        <v>41</v>
      </c>
      <c r="F45" s="18" t="s">
        <v>42</v>
      </c>
    </row>
    <row r="46" spans="1:8" ht="12.75" x14ac:dyDescent="0.2">
      <c r="A46" s="3"/>
      <c r="B46" s="786" t="s">
        <v>43</v>
      </c>
      <c r="C46" s="787"/>
      <c r="D46" s="788"/>
      <c r="E46" s="247">
        <v>1114376</v>
      </c>
      <c r="F46" s="248">
        <v>30047</v>
      </c>
    </row>
    <row r="47" spans="1:8" ht="26.25" customHeight="1" x14ac:dyDescent="0.2">
      <c r="A47" s="3"/>
      <c r="B47" s="789" t="s">
        <v>44</v>
      </c>
      <c r="C47" s="790"/>
      <c r="D47" s="791"/>
      <c r="E47" s="248">
        <v>64632</v>
      </c>
      <c r="F47" s="248">
        <v>18638</v>
      </c>
    </row>
    <row r="48" spans="1:8" ht="40.5" customHeight="1" x14ac:dyDescent="0.2">
      <c r="A48" s="3"/>
      <c r="B48" s="789" t="s">
        <v>45</v>
      </c>
      <c r="C48" s="790"/>
      <c r="D48" s="791"/>
      <c r="E48" s="248">
        <v>43796401</v>
      </c>
      <c r="F48" s="248">
        <v>10046866</v>
      </c>
    </row>
    <row r="49" spans="1:6" ht="27.75" customHeight="1" x14ac:dyDescent="0.2">
      <c r="A49" s="3"/>
      <c r="B49" s="789" t="s">
        <v>46</v>
      </c>
      <c r="C49" s="790"/>
      <c r="D49" s="791"/>
      <c r="E49" s="248">
        <v>2176139</v>
      </c>
      <c r="F49" s="248">
        <v>2482016</v>
      </c>
    </row>
    <row r="50" spans="1:6" ht="12.75" x14ac:dyDescent="0.2">
      <c r="A50" s="3"/>
      <c r="B50" s="792" t="s">
        <v>47</v>
      </c>
      <c r="C50" s="793"/>
      <c r="D50" s="794"/>
      <c r="E50" s="19">
        <f>SUM(E46:E49)</f>
        <v>47151548</v>
      </c>
      <c r="F50" s="19">
        <f>SUM(F46:F49)</f>
        <v>12577567</v>
      </c>
    </row>
    <row r="51" spans="1:6" ht="12.75" x14ac:dyDescent="0.2">
      <c r="A51" s="3"/>
      <c r="B51" s="15" t="s">
        <v>48</v>
      </c>
      <c r="C51" s="16"/>
      <c r="D51" s="16"/>
      <c r="E51" s="20"/>
      <c r="F51" s="21"/>
    </row>
    <row r="52" spans="1:6" ht="12.75" x14ac:dyDescent="0.2">
      <c r="A52" s="3"/>
      <c r="B52" s="789" t="s">
        <v>49</v>
      </c>
      <c r="C52" s="790"/>
      <c r="D52" s="791"/>
      <c r="E52" s="249">
        <v>2262672</v>
      </c>
      <c r="F52" s="249">
        <v>2470211</v>
      </c>
    </row>
    <row r="53" spans="1:6" ht="12.75" x14ac:dyDescent="0.2">
      <c r="A53" s="3"/>
      <c r="B53" s="789" t="s">
        <v>50</v>
      </c>
      <c r="C53" s="790"/>
      <c r="D53" s="791"/>
      <c r="E53" s="249">
        <v>185077</v>
      </c>
      <c r="F53" s="22"/>
    </row>
    <row r="54" spans="1:6" ht="25.5" customHeight="1" x14ac:dyDescent="0.2">
      <c r="A54" s="3"/>
      <c r="B54" s="789" t="s">
        <v>51</v>
      </c>
      <c r="C54" s="790"/>
      <c r="D54" s="791"/>
      <c r="E54" s="249">
        <v>285266</v>
      </c>
      <c r="F54" s="250">
        <v>0</v>
      </c>
    </row>
    <row r="55" spans="1:6" ht="12.75" x14ac:dyDescent="0.2">
      <c r="A55" s="3"/>
      <c r="B55" s="792" t="s">
        <v>52</v>
      </c>
      <c r="C55" s="793"/>
      <c r="D55" s="794"/>
      <c r="E55" s="23">
        <f>SUM(E52:E54)</f>
        <v>2733015</v>
      </c>
      <c r="F55" s="23">
        <f>SUM(F52,F54)</f>
        <v>2470211</v>
      </c>
    </row>
    <row r="56" spans="1:6" ht="12.75" x14ac:dyDescent="0.2">
      <c r="A56" s="3"/>
      <c r="B56" s="792" t="s">
        <v>53</v>
      </c>
      <c r="C56" s="793"/>
      <c r="D56" s="794"/>
      <c r="E56" s="249">
        <v>0</v>
      </c>
      <c r="F56" s="249">
        <v>2661505</v>
      </c>
    </row>
    <row r="57" spans="1:6" ht="42.75" customHeight="1" x14ac:dyDescent="0.2">
      <c r="A57" s="3"/>
      <c r="B57" s="799" t="s">
        <v>54</v>
      </c>
      <c r="C57" s="800"/>
      <c r="D57" s="801"/>
      <c r="E57" s="249">
        <v>1353871</v>
      </c>
      <c r="F57" s="249">
        <v>1287449</v>
      </c>
    </row>
    <row r="58" spans="1:6" ht="12.75" x14ac:dyDescent="0.2">
      <c r="A58" s="3"/>
      <c r="B58" s="792" t="s">
        <v>55</v>
      </c>
      <c r="C58" s="793"/>
      <c r="D58" s="794"/>
      <c r="E58" s="249">
        <v>0</v>
      </c>
      <c r="F58" s="249">
        <v>0</v>
      </c>
    </row>
    <row r="59" spans="1:6" ht="12.75" x14ac:dyDescent="0.2"/>
    <row r="60" spans="1:6" ht="28.5" customHeight="1" x14ac:dyDescent="0.2">
      <c r="A60" s="3" t="s">
        <v>56</v>
      </c>
      <c r="B60" s="755" t="s">
        <v>57</v>
      </c>
      <c r="C60" s="561"/>
      <c r="D60" s="561"/>
      <c r="E60" s="561"/>
      <c r="F60" s="561"/>
    </row>
    <row r="61" spans="1:6" ht="31.5" customHeight="1" x14ac:dyDescent="0.2">
      <c r="A61" s="3"/>
      <c r="B61" s="755" t="s">
        <v>58</v>
      </c>
      <c r="C61" s="755"/>
      <c r="D61" s="755"/>
      <c r="E61" s="755"/>
      <c r="F61" s="755"/>
    </row>
    <row r="62" spans="1:6" ht="15" customHeight="1" x14ac:dyDescent="0.2">
      <c r="A62" s="3"/>
      <c r="B62" s="798" t="s">
        <v>59</v>
      </c>
      <c r="C62" s="755"/>
      <c r="D62" s="755"/>
      <c r="E62" s="755"/>
      <c r="F62" s="755"/>
    </row>
    <row r="63" spans="1:6" ht="30" customHeight="1" x14ac:dyDescent="0.2">
      <c r="A63" s="3"/>
      <c r="B63" s="561" t="s">
        <v>60</v>
      </c>
      <c r="C63" s="561"/>
      <c r="D63" s="561"/>
      <c r="E63" s="561"/>
      <c r="F63" s="561"/>
    </row>
    <row r="64" spans="1:6" ht="15" customHeight="1" x14ac:dyDescent="0.2">
      <c r="A64" s="3"/>
      <c r="B64" s="779" t="s">
        <v>61</v>
      </c>
      <c r="C64" s="779"/>
      <c r="D64" s="779"/>
      <c r="E64" s="779"/>
      <c r="F64" s="779"/>
    </row>
    <row r="65" spans="1:6" ht="14.25" customHeight="1" x14ac:dyDescent="0.2">
      <c r="A65" s="3"/>
      <c r="B65" s="24"/>
      <c r="C65" s="5"/>
      <c r="D65" s="5"/>
      <c r="E65" s="5"/>
      <c r="F65" s="5"/>
    </row>
    <row r="66" spans="1:6" ht="36" x14ac:dyDescent="0.2">
      <c r="A66" s="3"/>
      <c r="B66" s="25"/>
      <c r="C66" s="26"/>
      <c r="D66" s="27" t="s">
        <v>1756</v>
      </c>
      <c r="E66" s="27" t="s">
        <v>1757</v>
      </c>
      <c r="F66" s="28" t="s">
        <v>62</v>
      </c>
    </row>
    <row r="67" spans="1:6" ht="24" x14ac:dyDescent="0.2">
      <c r="A67" s="3"/>
      <c r="B67" s="29" t="s">
        <v>63</v>
      </c>
      <c r="C67" s="30" t="s">
        <v>1555</v>
      </c>
      <c r="D67" s="251">
        <v>531</v>
      </c>
      <c r="E67" s="251">
        <v>1887</v>
      </c>
      <c r="F67" s="251" t="s">
        <v>603</v>
      </c>
    </row>
    <row r="68" spans="1:6" ht="24.75" customHeight="1" x14ac:dyDescent="0.2">
      <c r="A68" s="3"/>
      <c r="B68" s="29" t="s">
        <v>64</v>
      </c>
      <c r="C68" s="30" t="s">
        <v>65</v>
      </c>
      <c r="D68" s="251">
        <v>314</v>
      </c>
      <c r="E68" s="251">
        <v>979</v>
      </c>
      <c r="F68" s="251" t="s">
        <v>603</v>
      </c>
    </row>
    <row r="69" spans="1:6" ht="24" x14ac:dyDescent="0.2">
      <c r="A69" s="3"/>
      <c r="B69" s="29" t="s">
        <v>66</v>
      </c>
      <c r="C69" s="30" t="s">
        <v>67</v>
      </c>
      <c r="D69" s="251">
        <v>253</v>
      </c>
      <c r="E69" s="251">
        <v>869</v>
      </c>
      <c r="F69" s="251" t="s">
        <v>603</v>
      </c>
    </row>
    <row r="70" spans="1:6" ht="24" x14ac:dyDescent="0.2">
      <c r="A70" s="3"/>
      <c r="B70" s="29" t="s">
        <v>68</v>
      </c>
      <c r="C70" s="30" t="s">
        <v>69</v>
      </c>
      <c r="D70" s="251">
        <v>253</v>
      </c>
      <c r="E70" s="251">
        <v>869</v>
      </c>
      <c r="F70" s="251" t="s">
        <v>603</v>
      </c>
    </row>
    <row r="71" spans="1:6" ht="24" x14ac:dyDescent="0.2">
      <c r="A71" s="3"/>
      <c r="B71" s="29" t="s">
        <v>70</v>
      </c>
      <c r="C71" s="30" t="s">
        <v>71</v>
      </c>
      <c r="D71" s="251">
        <v>253</v>
      </c>
      <c r="E71" s="251">
        <v>869</v>
      </c>
      <c r="F71" s="251" t="s">
        <v>603</v>
      </c>
    </row>
    <row r="72" spans="1:6" ht="24" x14ac:dyDescent="0.2">
      <c r="A72" s="3"/>
      <c r="B72" s="29" t="s">
        <v>72</v>
      </c>
      <c r="C72" s="30" t="s">
        <v>73</v>
      </c>
      <c r="D72" s="251">
        <v>197</v>
      </c>
      <c r="E72" s="251">
        <v>710</v>
      </c>
      <c r="F72" s="251" t="s">
        <v>603</v>
      </c>
    </row>
    <row r="73" spans="1:6" ht="24" x14ac:dyDescent="0.2">
      <c r="A73" s="3"/>
      <c r="B73" s="29" t="s">
        <v>74</v>
      </c>
      <c r="C73" s="30" t="s">
        <v>75</v>
      </c>
      <c r="D73" s="251">
        <v>109</v>
      </c>
      <c r="E73" s="251">
        <v>376</v>
      </c>
      <c r="F73" s="251"/>
    </row>
    <row r="74" spans="1:6" ht="36" x14ac:dyDescent="0.2">
      <c r="A74" s="3"/>
      <c r="B74" s="29" t="s">
        <v>76</v>
      </c>
      <c r="C74" s="30" t="s">
        <v>77</v>
      </c>
      <c r="D74" s="251">
        <v>253</v>
      </c>
      <c r="E74" s="251">
        <v>869</v>
      </c>
      <c r="F74" s="251" t="s">
        <v>603</v>
      </c>
    </row>
    <row r="75" spans="1:6" ht="72" x14ac:dyDescent="0.2">
      <c r="A75" s="3"/>
      <c r="B75" s="29" t="s">
        <v>78</v>
      </c>
      <c r="C75" s="30" t="s">
        <v>79</v>
      </c>
      <c r="D75" s="252">
        <v>1</v>
      </c>
      <c r="E75" s="252">
        <v>1</v>
      </c>
      <c r="F75" s="252" t="s">
        <v>603</v>
      </c>
    </row>
    <row r="76" spans="1:6" ht="48" x14ac:dyDescent="0.2">
      <c r="A76" s="3"/>
      <c r="B76" s="29" t="s">
        <v>80</v>
      </c>
      <c r="C76" s="30" t="s">
        <v>81</v>
      </c>
      <c r="D76" s="253">
        <v>54708</v>
      </c>
      <c r="E76" s="253">
        <v>53828</v>
      </c>
      <c r="F76" s="253" t="s">
        <v>603</v>
      </c>
    </row>
    <row r="77" spans="1:6" ht="24" x14ac:dyDescent="0.2">
      <c r="A77" s="3"/>
      <c r="B77" s="31" t="s">
        <v>82</v>
      </c>
      <c r="C77" s="32" t="s">
        <v>83</v>
      </c>
      <c r="D77" s="253">
        <v>53049</v>
      </c>
      <c r="E77" s="253">
        <v>51701</v>
      </c>
      <c r="F77" s="253" t="s">
        <v>603</v>
      </c>
    </row>
    <row r="78" spans="1:6" ht="36.75" customHeight="1" x14ac:dyDescent="0.2">
      <c r="A78" s="3"/>
      <c r="B78" s="29" t="s">
        <v>84</v>
      </c>
      <c r="C78" s="30" t="s">
        <v>85</v>
      </c>
      <c r="D78" s="253">
        <v>2466</v>
      </c>
      <c r="E78" s="253">
        <v>3338</v>
      </c>
      <c r="F78" s="253" t="s">
        <v>603</v>
      </c>
    </row>
    <row r="79" spans="1:6" ht="36" x14ac:dyDescent="0.2">
      <c r="A79" s="3"/>
      <c r="B79" s="29" t="s">
        <v>86</v>
      </c>
      <c r="C79" s="30" t="s">
        <v>87</v>
      </c>
      <c r="D79" s="253">
        <v>1743</v>
      </c>
      <c r="E79" s="253">
        <v>2680</v>
      </c>
      <c r="F79" s="253" t="s">
        <v>603</v>
      </c>
    </row>
    <row r="80" spans="1:6" ht="12.75" x14ac:dyDescent="0.2"/>
    <row r="81" spans="1:6" ht="42.75" customHeight="1" x14ac:dyDescent="0.2">
      <c r="A81" s="3" t="s">
        <v>88</v>
      </c>
      <c r="B81" s="755" t="s">
        <v>89</v>
      </c>
      <c r="C81" s="561"/>
      <c r="D81" s="561"/>
      <c r="E81" s="561"/>
      <c r="F81" s="561"/>
    </row>
    <row r="82" spans="1:6" ht="13.5" customHeight="1" x14ac:dyDescent="0.2">
      <c r="A82" s="3"/>
      <c r="B82" s="561" t="s">
        <v>90</v>
      </c>
      <c r="C82" s="755"/>
      <c r="D82" s="755"/>
      <c r="E82" s="755"/>
      <c r="F82" s="755"/>
    </row>
    <row r="83" spans="1:6" ht="24.75" customHeight="1" x14ac:dyDescent="0.2">
      <c r="A83" s="3"/>
      <c r="B83" s="561" t="s">
        <v>91</v>
      </c>
      <c r="C83" s="755"/>
      <c r="D83" s="755"/>
      <c r="E83" s="755"/>
      <c r="F83" s="755"/>
    </row>
    <row r="84" spans="1:6" ht="23.25" customHeight="1" x14ac:dyDescent="0.2">
      <c r="A84" s="3"/>
      <c r="B84" s="804" t="s">
        <v>32</v>
      </c>
      <c r="C84" s="758"/>
      <c r="D84" s="758"/>
      <c r="E84" s="758"/>
      <c r="F84" s="758"/>
    </row>
    <row r="85" spans="1:6" ht="36" x14ac:dyDescent="0.2">
      <c r="A85" s="3"/>
      <c r="B85" s="25"/>
      <c r="C85" s="26"/>
      <c r="D85" s="28" t="s">
        <v>1758</v>
      </c>
      <c r="E85" s="28" t="s">
        <v>1759</v>
      </c>
      <c r="F85" s="28" t="s">
        <v>62</v>
      </c>
    </row>
    <row r="86" spans="1:6" ht="49.5" customHeight="1" x14ac:dyDescent="0.2">
      <c r="A86" s="3"/>
      <c r="B86" s="33" t="s">
        <v>92</v>
      </c>
      <c r="C86" s="30" t="s">
        <v>93</v>
      </c>
      <c r="D86" s="251">
        <v>178</v>
      </c>
      <c r="E86" s="251">
        <v>542</v>
      </c>
      <c r="F86" s="251" t="s">
        <v>603</v>
      </c>
    </row>
    <row r="87" spans="1:6" ht="24" x14ac:dyDescent="0.2">
      <c r="A87" s="3"/>
      <c r="B87" s="33" t="s">
        <v>94</v>
      </c>
      <c r="C87" s="30" t="s">
        <v>95</v>
      </c>
      <c r="D87" s="254">
        <v>16839</v>
      </c>
      <c r="E87" s="254">
        <v>15854</v>
      </c>
      <c r="F87" s="254" t="s">
        <v>603</v>
      </c>
    </row>
    <row r="88" spans="1:6" ht="24" x14ac:dyDescent="0.2">
      <c r="A88" s="3"/>
      <c r="B88" s="33" t="s">
        <v>96</v>
      </c>
      <c r="C88" s="30" t="s">
        <v>97</v>
      </c>
      <c r="D88" s="251">
        <v>0</v>
      </c>
      <c r="E88" s="251">
        <v>0</v>
      </c>
      <c r="F88" s="251" t="s">
        <v>603</v>
      </c>
    </row>
    <row r="89" spans="1:6" ht="36" x14ac:dyDescent="0.2">
      <c r="A89" s="3"/>
      <c r="B89" s="33" t="s">
        <v>98</v>
      </c>
      <c r="C89" s="30" t="s">
        <v>99</v>
      </c>
      <c r="D89" s="254">
        <v>0</v>
      </c>
      <c r="E89" s="254">
        <v>0</v>
      </c>
      <c r="F89" s="254" t="s">
        <v>603</v>
      </c>
    </row>
    <row r="90" spans="1:6" ht="12.75" x14ac:dyDescent="0.2">
      <c r="A90" s="1"/>
    </row>
    <row r="91" spans="1:6" ht="27" customHeight="1" x14ac:dyDescent="0.2">
      <c r="A91" s="3"/>
      <c r="B91" s="34"/>
      <c r="C91" s="805" t="s">
        <v>100</v>
      </c>
      <c r="D91" s="555"/>
      <c r="E91" s="555"/>
      <c r="F91" s="555"/>
    </row>
    <row r="92" spans="1:6" ht="14.25" customHeight="1" x14ac:dyDescent="0.2">
      <c r="A92" s="3"/>
      <c r="B92" s="34"/>
      <c r="C92" s="36" t="s">
        <v>101</v>
      </c>
      <c r="D92" s="35"/>
      <c r="E92" s="35"/>
      <c r="F92" s="35"/>
    </row>
    <row r="93" spans="1:6" ht="29.25" customHeight="1" x14ac:dyDescent="0.2">
      <c r="A93" s="3"/>
      <c r="B93" s="34"/>
      <c r="C93" s="803" t="s">
        <v>1556</v>
      </c>
      <c r="D93" s="803"/>
      <c r="E93" s="803"/>
      <c r="F93" s="803"/>
    </row>
    <row r="94" spans="1:6" ht="14.25" customHeight="1" x14ac:dyDescent="0.2">
      <c r="A94" s="3"/>
      <c r="B94" s="34"/>
      <c r="C94" s="802" t="s">
        <v>102</v>
      </c>
      <c r="D94" s="803"/>
      <c r="E94" s="803"/>
      <c r="F94" s="803"/>
    </row>
    <row r="95" spans="1:6" ht="14.25" customHeight="1" x14ac:dyDescent="0.2">
      <c r="A95" s="3"/>
      <c r="B95" s="34"/>
      <c r="C95" s="802" t="s">
        <v>103</v>
      </c>
      <c r="D95" s="803"/>
      <c r="E95" s="803"/>
      <c r="F95" s="803"/>
    </row>
    <row r="96" spans="1:6" ht="14.25" customHeight="1" x14ac:dyDescent="0.2">
      <c r="A96" s="3"/>
      <c r="B96" s="34"/>
      <c r="C96" s="802" t="s">
        <v>104</v>
      </c>
      <c r="D96" s="802"/>
      <c r="E96" s="802"/>
      <c r="F96" s="802"/>
    </row>
    <row r="97" spans="1:6" ht="14.25" customHeight="1" x14ac:dyDescent="0.2">
      <c r="A97" s="3"/>
      <c r="B97" s="34"/>
      <c r="C97" s="802" t="s">
        <v>105</v>
      </c>
      <c r="D97" s="803"/>
      <c r="E97" s="803"/>
      <c r="F97" s="803"/>
    </row>
    <row r="98" spans="1:6" ht="14.25" customHeight="1" x14ac:dyDescent="0.2">
      <c r="A98" s="3"/>
      <c r="B98" s="34"/>
      <c r="C98" s="802" t="s">
        <v>106</v>
      </c>
      <c r="D98" s="802"/>
      <c r="E98" s="802"/>
      <c r="F98" s="802"/>
    </row>
    <row r="99" spans="1:6" ht="14.25" customHeight="1" x14ac:dyDescent="0.2">
      <c r="A99" s="3"/>
      <c r="B99" s="34"/>
      <c r="C99" s="802" t="s">
        <v>107</v>
      </c>
      <c r="D99" s="802"/>
      <c r="E99" s="802"/>
      <c r="F99" s="802"/>
    </row>
    <row r="100" spans="1:6" ht="27.75" customHeight="1" x14ac:dyDescent="0.2">
      <c r="A100" s="3"/>
      <c r="B100" s="34"/>
      <c r="C100" s="802" t="s">
        <v>108</v>
      </c>
      <c r="D100" s="802"/>
      <c r="E100" s="802"/>
      <c r="F100" s="802"/>
    </row>
    <row r="101" spans="1:6" ht="12.75" x14ac:dyDescent="0.2">
      <c r="A101" s="3"/>
      <c r="B101" s="34"/>
      <c r="C101" s="604" t="s">
        <v>109</v>
      </c>
      <c r="D101" s="604"/>
      <c r="E101" s="604"/>
      <c r="F101" s="604"/>
    </row>
    <row r="102" spans="1:6" ht="12.75" x14ac:dyDescent="0.2"/>
    <row r="103" spans="1:6" ht="53.25" customHeight="1" x14ac:dyDescent="0.2">
      <c r="A103" s="3" t="s">
        <v>110</v>
      </c>
      <c r="B103" s="817" t="s">
        <v>1557</v>
      </c>
      <c r="C103" s="734"/>
      <c r="D103" s="734"/>
      <c r="E103" s="734"/>
      <c r="F103" s="255">
        <v>439</v>
      </c>
    </row>
    <row r="104" spans="1:6" ht="66" customHeight="1" x14ac:dyDescent="0.2">
      <c r="A104" s="38"/>
      <c r="B104" s="818"/>
      <c r="C104" s="818"/>
      <c r="D104" s="818"/>
      <c r="E104" s="818"/>
      <c r="F104" s="819"/>
    </row>
    <row r="105" spans="1:6" ht="28.5" customHeight="1" x14ac:dyDescent="0.2">
      <c r="A105" s="570" t="s">
        <v>111</v>
      </c>
      <c r="B105" s="570"/>
      <c r="C105" s="570"/>
      <c r="D105" s="570"/>
      <c r="E105" s="570"/>
      <c r="F105" s="570"/>
    </row>
    <row r="106" spans="1:6" ht="32.25" customHeight="1" x14ac:dyDescent="0.2">
      <c r="A106" s="562" t="s">
        <v>112</v>
      </c>
      <c r="B106" s="562"/>
      <c r="C106" s="562"/>
      <c r="D106" s="562"/>
      <c r="E106" s="562"/>
      <c r="F106" s="562"/>
    </row>
    <row r="107" spans="1:6" ht="47.25" customHeight="1" thickBot="1" x14ac:dyDescent="0.25">
      <c r="A107" s="562" t="s">
        <v>113</v>
      </c>
      <c r="B107" s="570"/>
      <c r="C107" s="570"/>
      <c r="D107" s="570"/>
      <c r="E107" s="570"/>
      <c r="F107" s="570"/>
    </row>
    <row r="108" spans="1:6" ht="66" customHeight="1" x14ac:dyDescent="0.2">
      <c r="A108" s="806"/>
      <c r="B108" s="807" t="s">
        <v>114</v>
      </c>
      <c r="C108" s="808"/>
      <c r="D108" s="811" t="s">
        <v>115</v>
      </c>
      <c r="E108" s="813" t="s">
        <v>116</v>
      </c>
      <c r="F108" s="815" t="s">
        <v>117</v>
      </c>
    </row>
    <row r="109" spans="1:6" ht="80.25" customHeight="1" thickBot="1" x14ac:dyDescent="0.25">
      <c r="A109" s="806"/>
      <c r="B109" s="809"/>
      <c r="C109" s="810"/>
      <c r="D109" s="812"/>
      <c r="E109" s="814"/>
      <c r="F109" s="816"/>
    </row>
    <row r="110" spans="1:6" ht="66" customHeight="1" x14ac:dyDescent="0.2">
      <c r="A110" s="38"/>
      <c r="B110" s="41" t="s">
        <v>63</v>
      </c>
      <c r="C110" s="42" t="s">
        <v>118</v>
      </c>
      <c r="D110" s="256">
        <v>170</v>
      </c>
      <c r="E110" s="466">
        <v>0.39</v>
      </c>
      <c r="F110" s="257">
        <v>25146</v>
      </c>
    </row>
    <row r="111" spans="1:6" ht="56.25" customHeight="1" x14ac:dyDescent="0.2">
      <c r="A111" s="38"/>
      <c r="B111" s="41" t="s">
        <v>64</v>
      </c>
      <c r="C111" s="43" t="s">
        <v>119</v>
      </c>
      <c r="D111" s="256">
        <v>145</v>
      </c>
      <c r="E111" s="466">
        <v>0.33</v>
      </c>
      <c r="F111" s="257">
        <v>16092</v>
      </c>
    </row>
    <row r="112" spans="1:6" ht="33" customHeight="1" x14ac:dyDescent="0.2">
      <c r="A112" s="38"/>
      <c r="B112" s="41" t="s">
        <v>66</v>
      </c>
      <c r="C112" s="44" t="s">
        <v>120</v>
      </c>
      <c r="D112" s="256">
        <v>92</v>
      </c>
      <c r="E112" s="466">
        <v>0.21</v>
      </c>
      <c r="F112" s="257">
        <v>6244</v>
      </c>
    </row>
    <row r="113" spans="1:256" ht="35.25" customHeight="1" x14ac:dyDescent="0.2">
      <c r="A113" s="38"/>
      <c r="B113" s="41" t="s">
        <v>68</v>
      </c>
      <c r="C113" s="44" t="s">
        <v>121</v>
      </c>
      <c r="D113" s="256">
        <v>0</v>
      </c>
      <c r="E113" s="466">
        <v>0</v>
      </c>
      <c r="F113" s="257">
        <v>0</v>
      </c>
    </row>
    <row r="114" spans="1:256" ht="36.75" customHeight="1" x14ac:dyDescent="0.2">
      <c r="A114" s="38"/>
      <c r="B114" s="41" t="s">
        <v>70</v>
      </c>
      <c r="C114" s="44" t="s">
        <v>122</v>
      </c>
      <c r="D114" s="256">
        <v>25</v>
      </c>
      <c r="E114" s="466">
        <v>0.06</v>
      </c>
      <c r="F114" s="257">
        <v>54675</v>
      </c>
      <c r="G114" s="45"/>
      <c r="H114" s="180"/>
      <c r="I114" s="180"/>
      <c r="J114" s="180"/>
      <c r="K114" s="180"/>
      <c r="L114" s="180"/>
      <c r="M114" s="180"/>
      <c r="N114" s="180"/>
      <c r="O114" s="180"/>
      <c r="P114" s="180"/>
      <c r="Q114" s="180"/>
      <c r="R114" s="180"/>
      <c r="S114" s="180"/>
      <c r="T114" s="180"/>
      <c r="U114" s="180"/>
      <c r="V114" s="180"/>
      <c r="W114" s="180"/>
      <c r="X114" s="180"/>
      <c r="Y114" s="180"/>
      <c r="Z114" s="180"/>
      <c r="AA114" s="180"/>
      <c r="AB114" s="180"/>
      <c r="AC114" s="180"/>
      <c r="AD114" s="180"/>
      <c r="AE114" s="180"/>
      <c r="AF114" s="180"/>
      <c r="AG114" s="180"/>
      <c r="AH114" s="180"/>
      <c r="AI114" s="180"/>
      <c r="AJ114" s="180"/>
      <c r="AK114" s="180"/>
      <c r="AL114" s="180"/>
      <c r="AM114" s="180"/>
      <c r="AN114" s="180"/>
      <c r="AO114" s="180"/>
      <c r="AP114" s="180"/>
      <c r="AQ114" s="180"/>
      <c r="AR114" s="180"/>
      <c r="AS114" s="180"/>
      <c r="AT114" s="180"/>
      <c r="AU114" s="180"/>
      <c r="AV114" s="180"/>
      <c r="AW114" s="180"/>
      <c r="AX114" s="180"/>
      <c r="AY114" s="180"/>
      <c r="AZ114" s="180"/>
      <c r="BA114" s="180"/>
      <c r="BB114" s="180"/>
      <c r="BC114" s="180"/>
      <c r="BD114" s="180"/>
      <c r="BE114" s="180"/>
      <c r="BF114" s="180"/>
      <c r="BG114" s="180"/>
      <c r="BH114" s="180"/>
      <c r="BI114" s="180"/>
      <c r="BJ114" s="180"/>
      <c r="BK114" s="180"/>
      <c r="BL114" s="180"/>
      <c r="BM114" s="180"/>
      <c r="BN114" s="180"/>
      <c r="BO114" s="180"/>
      <c r="BP114" s="180"/>
      <c r="BQ114" s="180"/>
      <c r="BR114" s="180"/>
      <c r="BS114" s="180"/>
      <c r="BT114" s="180"/>
      <c r="BU114" s="180"/>
      <c r="BV114" s="180"/>
      <c r="BW114" s="180"/>
      <c r="BX114" s="180"/>
      <c r="BY114" s="180"/>
      <c r="BZ114" s="180"/>
      <c r="CA114" s="180"/>
      <c r="CB114" s="180"/>
      <c r="CC114" s="180"/>
      <c r="CD114" s="180"/>
      <c r="CE114" s="180"/>
      <c r="CF114" s="180"/>
      <c r="CG114" s="180"/>
      <c r="CH114" s="180"/>
      <c r="CI114" s="180"/>
      <c r="CJ114" s="180"/>
      <c r="CK114" s="180"/>
      <c r="CL114" s="180"/>
      <c r="CM114" s="180"/>
      <c r="CN114" s="180"/>
      <c r="CO114" s="180"/>
      <c r="CP114" s="180"/>
      <c r="CQ114" s="180"/>
      <c r="CR114" s="180"/>
      <c r="CS114" s="180"/>
      <c r="CT114" s="180"/>
      <c r="CU114" s="180"/>
      <c r="CV114" s="180"/>
      <c r="CW114" s="180"/>
      <c r="CX114" s="180"/>
      <c r="CY114" s="180"/>
      <c r="CZ114" s="180"/>
      <c r="DA114" s="180"/>
      <c r="DB114" s="180"/>
      <c r="DC114" s="180"/>
      <c r="DD114" s="180"/>
      <c r="DE114" s="180"/>
      <c r="DF114" s="180"/>
      <c r="DG114" s="180"/>
      <c r="DH114" s="180"/>
      <c r="DI114" s="180"/>
      <c r="DJ114" s="180"/>
      <c r="DK114" s="180"/>
      <c r="DL114" s="180"/>
      <c r="DM114" s="180"/>
      <c r="DN114" s="180"/>
      <c r="DO114" s="180"/>
      <c r="DP114" s="180"/>
      <c r="DQ114" s="180"/>
      <c r="DR114" s="180"/>
      <c r="DS114" s="180"/>
      <c r="DT114" s="180"/>
      <c r="DU114" s="180"/>
      <c r="DV114" s="180"/>
      <c r="DW114" s="180"/>
      <c r="DX114" s="180"/>
      <c r="DY114" s="180"/>
      <c r="DZ114" s="180"/>
      <c r="EA114" s="180"/>
      <c r="EB114" s="180"/>
      <c r="EC114" s="180"/>
      <c r="ED114" s="180"/>
      <c r="EE114" s="180"/>
      <c r="EF114" s="180"/>
      <c r="EG114" s="180"/>
      <c r="EH114" s="180"/>
      <c r="EI114" s="180"/>
      <c r="EJ114" s="180"/>
      <c r="EK114" s="180"/>
      <c r="EL114" s="180"/>
      <c r="EM114" s="180"/>
      <c r="EN114" s="180"/>
      <c r="EO114" s="180"/>
      <c r="EP114" s="180"/>
      <c r="EQ114" s="180"/>
      <c r="ER114" s="180"/>
      <c r="ES114" s="180"/>
      <c r="ET114" s="180"/>
      <c r="EU114" s="180"/>
      <c r="EV114" s="180"/>
      <c r="EW114" s="180"/>
      <c r="EX114" s="180"/>
      <c r="EY114" s="180"/>
      <c r="EZ114" s="180"/>
      <c r="FA114" s="180"/>
      <c r="FB114" s="180"/>
      <c r="FC114" s="180"/>
      <c r="FD114" s="180"/>
      <c r="FE114" s="180"/>
      <c r="FF114" s="180"/>
      <c r="FG114" s="180"/>
      <c r="FH114" s="180"/>
      <c r="FI114" s="180"/>
      <c r="FJ114" s="180"/>
      <c r="FK114" s="180"/>
      <c r="FL114" s="180"/>
      <c r="FM114" s="180"/>
      <c r="FN114" s="180"/>
      <c r="FO114" s="180"/>
      <c r="FP114" s="180"/>
      <c r="FQ114" s="180"/>
      <c r="FR114" s="180"/>
      <c r="FS114" s="180"/>
      <c r="FT114" s="180"/>
      <c r="FU114" s="180"/>
      <c r="FV114" s="180"/>
      <c r="FW114" s="180"/>
      <c r="FX114" s="180"/>
      <c r="FY114" s="180"/>
      <c r="FZ114" s="180"/>
      <c r="GA114" s="180"/>
      <c r="GB114" s="180"/>
      <c r="GC114" s="180"/>
      <c r="GD114" s="180"/>
      <c r="GE114" s="180"/>
      <c r="GF114" s="180"/>
      <c r="GG114" s="180"/>
      <c r="GH114" s="180"/>
      <c r="GI114" s="180"/>
      <c r="GJ114" s="180"/>
      <c r="GK114" s="180"/>
      <c r="GL114" s="180"/>
      <c r="GM114" s="180"/>
      <c r="GN114" s="180"/>
      <c r="GO114" s="180"/>
      <c r="GP114" s="180"/>
      <c r="GQ114" s="180"/>
      <c r="GR114" s="180"/>
      <c r="GS114" s="180"/>
      <c r="GT114" s="180"/>
      <c r="GU114" s="180"/>
      <c r="GV114" s="180"/>
      <c r="GW114" s="180"/>
      <c r="GX114" s="180"/>
      <c r="GY114" s="180"/>
      <c r="GZ114" s="180"/>
      <c r="HA114" s="180"/>
      <c r="HB114" s="180"/>
      <c r="HC114" s="180"/>
      <c r="HD114" s="180"/>
      <c r="HE114" s="180"/>
      <c r="HF114" s="180"/>
      <c r="HG114" s="180"/>
      <c r="HH114" s="180"/>
      <c r="HI114" s="180"/>
      <c r="HJ114" s="180"/>
      <c r="HK114" s="180"/>
      <c r="HL114" s="180"/>
      <c r="HM114" s="180"/>
      <c r="HN114" s="180"/>
      <c r="HO114" s="180"/>
      <c r="HP114" s="180"/>
      <c r="HQ114" s="180"/>
      <c r="HR114" s="180"/>
      <c r="HS114" s="180"/>
      <c r="HT114" s="180"/>
      <c r="HU114" s="180"/>
      <c r="HV114" s="180"/>
      <c r="HW114" s="180"/>
      <c r="HX114" s="180"/>
      <c r="HY114" s="180"/>
      <c r="HZ114" s="180"/>
      <c r="IA114" s="180"/>
      <c r="IB114" s="180"/>
      <c r="IC114" s="180"/>
      <c r="ID114" s="180"/>
      <c r="IE114" s="180"/>
      <c r="IF114" s="180"/>
      <c r="IG114" s="180"/>
      <c r="IH114" s="180"/>
      <c r="II114" s="180"/>
      <c r="IJ114" s="180"/>
      <c r="IK114" s="180"/>
      <c r="IL114" s="180"/>
      <c r="IM114" s="180"/>
      <c r="IN114" s="180"/>
      <c r="IO114" s="180"/>
      <c r="IP114" s="180"/>
      <c r="IQ114" s="180"/>
      <c r="IR114" s="180"/>
      <c r="IS114" s="180"/>
      <c r="IT114" s="180"/>
      <c r="IU114" s="180"/>
      <c r="IV114" s="180"/>
    </row>
    <row r="115" spans="1:256" ht="12.75" x14ac:dyDescent="0.2">
      <c r="A115" s="3"/>
    </row>
    <row r="116" spans="1:256" ht="18.75" customHeight="1" x14ac:dyDescent="0.2">
      <c r="B116" s="821" t="s">
        <v>123</v>
      </c>
      <c r="C116" s="561"/>
      <c r="D116" s="561"/>
      <c r="E116" s="561"/>
      <c r="F116" s="561"/>
    </row>
    <row r="117" spans="1:256" ht="15" customHeight="1" x14ac:dyDescent="0.2">
      <c r="B117" s="46"/>
      <c r="C117" s="755" t="s">
        <v>124</v>
      </c>
      <c r="D117" s="561"/>
      <c r="E117" s="561"/>
      <c r="F117" s="561"/>
    </row>
    <row r="118" spans="1:256" ht="12" customHeight="1" x14ac:dyDescent="0.2">
      <c r="B118" s="46"/>
      <c r="C118" s="5"/>
      <c r="D118" s="5"/>
      <c r="E118" s="5"/>
      <c r="F118" s="5"/>
    </row>
    <row r="119" spans="1:256" ht="26.25" customHeight="1" x14ac:dyDescent="0.2">
      <c r="A119" s="3" t="s">
        <v>125</v>
      </c>
      <c r="B119" s="561" t="s">
        <v>126</v>
      </c>
      <c r="C119" s="561"/>
      <c r="D119" s="561"/>
      <c r="E119" s="561"/>
      <c r="F119" s="561"/>
    </row>
    <row r="120" spans="1:256" ht="14.25" customHeight="1" x14ac:dyDescent="0.2">
      <c r="A120" s="3"/>
      <c r="B120" s="5"/>
      <c r="C120" s="5"/>
      <c r="D120" s="5"/>
      <c r="E120" s="5"/>
      <c r="F120" s="5"/>
    </row>
    <row r="121" spans="1:256" ht="15.95" customHeight="1" x14ac:dyDescent="0.2">
      <c r="A121" s="60"/>
      <c r="B121" s="797" t="s">
        <v>127</v>
      </c>
      <c r="C121" s="797"/>
      <c r="D121" s="797"/>
      <c r="E121" s="246">
        <v>1</v>
      </c>
      <c r="H121" s="1" t="str" cm="1">
        <f t="array" ref="H121">_xlfn.IFS($E$121=1, "Institutional need-based scholarship or grant aid is available", $E$121=2, "Institutional non-need-based scholarship or grant aid is available", $E$121=3, "Institutional scholarship or grant aid is not available")</f>
        <v>Institutional need-based scholarship or grant aid is available</v>
      </c>
    </row>
    <row r="122" spans="1:256" ht="15.95" customHeight="1" x14ac:dyDescent="0.2">
      <c r="A122" s="60"/>
      <c r="B122" s="797" t="s">
        <v>128</v>
      </c>
      <c r="C122" s="797"/>
      <c r="D122" s="797"/>
      <c r="E122" s="179"/>
    </row>
    <row r="123" spans="1:256" ht="15.95" customHeight="1" x14ac:dyDescent="0.2">
      <c r="A123" s="60"/>
      <c r="B123" s="797" t="s">
        <v>129</v>
      </c>
      <c r="C123" s="797"/>
      <c r="D123" s="797"/>
      <c r="E123" s="179"/>
    </row>
    <row r="124" spans="1:256" ht="12.75" x14ac:dyDescent="0.2"/>
    <row r="125" spans="1:256" ht="40.5" customHeight="1" x14ac:dyDescent="0.2">
      <c r="A125" s="3"/>
      <c r="B125" s="731" t="s">
        <v>130</v>
      </c>
      <c r="C125" s="734"/>
      <c r="D125" s="734"/>
      <c r="E125" s="735"/>
      <c r="F125" s="258">
        <v>145</v>
      </c>
    </row>
    <row r="126" spans="1:256" ht="12.75" x14ac:dyDescent="0.2">
      <c r="B126" s="5"/>
      <c r="C126" s="47"/>
      <c r="D126" s="5"/>
      <c r="E126" s="5"/>
      <c r="F126" s="48"/>
    </row>
    <row r="127" spans="1:256" ht="25.5" customHeight="1" x14ac:dyDescent="0.2">
      <c r="A127" s="3"/>
      <c r="B127" s="731" t="s">
        <v>131</v>
      </c>
      <c r="C127" s="734"/>
      <c r="D127" s="734"/>
      <c r="E127" s="735"/>
      <c r="F127" s="259">
        <v>64925</v>
      </c>
    </row>
    <row r="128" spans="1:256" ht="12.75" x14ac:dyDescent="0.2">
      <c r="F128" s="49"/>
    </row>
    <row r="129" spans="1:8" ht="26.25" customHeight="1" x14ac:dyDescent="0.2">
      <c r="A129" s="3"/>
      <c r="B129" s="731" t="s">
        <v>132</v>
      </c>
      <c r="C129" s="734"/>
      <c r="D129" s="734"/>
      <c r="E129" s="735"/>
      <c r="F129" s="259">
        <v>9414102</v>
      </c>
    </row>
    <row r="130" spans="1:8" ht="26.25" customHeight="1" x14ac:dyDescent="0.2">
      <c r="A130" s="3"/>
      <c r="B130" s="5"/>
      <c r="C130" s="5"/>
      <c r="D130" s="5"/>
      <c r="E130" s="5"/>
      <c r="F130" s="50"/>
    </row>
    <row r="131" spans="1:8" ht="12.75" customHeight="1" x14ac:dyDescent="0.2">
      <c r="A131" s="3" t="s">
        <v>133</v>
      </c>
      <c r="B131" s="561" t="s">
        <v>134</v>
      </c>
      <c r="C131" s="561"/>
      <c r="D131" s="561"/>
      <c r="E131" s="561"/>
      <c r="F131" s="561"/>
    </row>
    <row r="132" spans="1:8" ht="12.75" customHeight="1" x14ac:dyDescent="0.2">
      <c r="A132" s="3"/>
      <c r="B132" s="5"/>
      <c r="C132" s="5"/>
      <c r="D132" s="5"/>
      <c r="E132" s="5"/>
      <c r="F132" s="5"/>
    </row>
    <row r="133" spans="1:8" ht="17.100000000000001" customHeight="1" x14ac:dyDescent="0.2">
      <c r="A133" s="60"/>
      <c r="B133" s="797" t="s">
        <v>135</v>
      </c>
      <c r="C133" s="820"/>
      <c r="D133" s="820"/>
      <c r="E133" s="260" t="b">
        <v>0</v>
      </c>
      <c r="H133" s="1" t="str" cm="1">
        <f t="array" ref="H133">_xlfn.IFS($E$133=TRUE, "Institution's own financial aid form|", $E$133=FALSE, "")</f>
        <v/>
      </c>
    </row>
    <row r="134" spans="1:8" ht="17.100000000000001" customHeight="1" x14ac:dyDescent="0.2">
      <c r="A134" s="60"/>
      <c r="B134" s="797" t="s">
        <v>136</v>
      </c>
      <c r="C134" s="820"/>
      <c r="D134" s="820"/>
      <c r="E134" s="260" t="b">
        <v>0</v>
      </c>
      <c r="H134" s="1" t="str" cm="1">
        <f t="array" ref="H134">_xlfn.IFS($E$134=TRUE, "CSS/Financial Aid PROFILE|", $E$134=FALSE, "")</f>
        <v/>
      </c>
    </row>
    <row r="135" spans="1:8" ht="17.100000000000001" customHeight="1" x14ac:dyDescent="0.2">
      <c r="A135" s="60"/>
      <c r="B135" s="797" t="s">
        <v>137</v>
      </c>
      <c r="C135" s="820"/>
      <c r="D135" s="820"/>
      <c r="E135" s="260" t="b">
        <v>0</v>
      </c>
      <c r="H135" s="1" t="str" cm="1">
        <f t="array" ref="H135">_xlfn.IFS($E$135=TRUE, "International Student's Financial Aid Application|", $E$135=FALSE, "")</f>
        <v/>
      </c>
    </row>
    <row r="136" spans="1:8" ht="17.100000000000001" customHeight="1" x14ac:dyDescent="0.2">
      <c r="A136" s="60"/>
      <c r="B136" s="797" t="s">
        <v>138</v>
      </c>
      <c r="C136" s="820"/>
      <c r="D136" s="820"/>
      <c r="E136" s="260" t="b">
        <v>0</v>
      </c>
      <c r="H136" s="1" t="str" cm="1">
        <f t="array" ref="H136">_xlfn.IFS($E$136=TRUE, "International Student's Certification of Finances|", $E$136=FALSE, "")</f>
        <v/>
      </c>
    </row>
    <row r="137" spans="1:8" ht="17.100000000000001" customHeight="1" x14ac:dyDescent="0.2">
      <c r="A137" s="60"/>
      <c r="B137" s="580" t="s">
        <v>139</v>
      </c>
      <c r="C137" s="580"/>
      <c r="D137" s="580"/>
      <c r="E137" s="260" t="b">
        <v>1</v>
      </c>
      <c r="H137" s="1" t="str" cm="1">
        <f t="array" ref="H137">_xlfn.IFS($E$137=TRUE, "Other|", $E$137=FALSE, "")</f>
        <v>Other|</v>
      </c>
    </row>
    <row r="138" spans="1:8" ht="12.75" x14ac:dyDescent="0.2">
      <c r="A138" s="3"/>
      <c r="B138" s="568" t="s">
        <v>1988</v>
      </c>
      <c r="C138" s="568"/>
      <c r="D138" s="568"/>
    </row>
    <row r="139" spans="1:8" ht="12.75" x14ac:dyDescent="0.2"/>
    <row r="140" spans="1:8" ht="15.75" x14ac:dyDescent="0.2">
      <c r="B140" s="53" t="s">
        <v>140</v>
      </c>
    </row>
    <row r="141" spans="1:8" ht="12.75" customHeight="1" x14ac:dyDescent="0.2">
      <c r="B141" s="53"/>
    </row>
    <row r="142" spans="1:8" ht="12.75" x14ac:dyDescent="0.2">
      <c r="A142" s="3" t="s">
        <v>141</v>
      </c>
      <c r="B142" s="561" t="s">
        <v>142</v>
      </c>
      <c r="C142" s="561"/>
      <c r="D142" s="561"/>
      <c r="E142" s="561"/>
      <c r="F142" s="561"/>
    </row>
    <row r="143" spans="1:8" ht="12.75" x14ac:dyDescent="0.2">
      <c r="A143" s="3"/>
      <c r="B143" s="5"/>
      <c r="C143" s="5"/>
      <c r="D143" s="5"/>
      <c r="E143" s="5"/>
      <c r="F143" s="5"/>
    </row>
    <row r="144" spans="1:8" ht="15.95" customHeight="1" x14ac:dyDescent="0.2">
      <c r="A144" s="60"/>
      <c r="B144" s="797" t="s">
        <v>143</v>
      </c>
      <c r="C144" s="820"/>
      <c r="D144" s="820"/>
      <c r="E144" s="260" t="b">
        <v>1</v>
      </c>
      <c r="H144" s="1" t="str" cm="1">
        <f t="array" ref="H144">_xlfn.IFS($E$144=TRUE, "FAFSA|",$E$144=FALSE, "")</f>
        <v>FAFSA|</v>
      </c>
    </row>
    <row r="145" spans="1:8" ht="15.95" customHeight="1" x14ac:dyDescent="0.2">
      <c r="A145" s="60"/>
      <c r="B145" s="797" t="s">
        <v>144</v>
      </c>
      <c r="C145" s="820"/>
      <c r="D145" s="820"/>
      <c r="E145" s="260" t="b">
        <v>0</v>
      </c>
      <c r="H145" s="1" t="str" cm="1">
        <f t="array" ref="H145">_xlfn.IFS($E$145=TRUE, "Institution's own financial aid form",$E$145=FALSE, "")</f>
        <v/>
      </c>
    </row>
    <row r="146" spans="1:8" ht="15.95" customHeight="1" x14ac:dyDescent="0.2">
      <c r="A146" s="60"/>
      <c r="B146" s="797" t="s">
        <v>136</v>
      </c>
      <c r="C146" s="820"/>
      <c r="D146" s="820"/>
      <c r="E146" s="260" t="b">
        <v>1</v>
      </c>
      <c r="H146" s="1" t="str" cm="1">
        <f t="array" ref="H146">_xlfn.IFS($E$146=TRUE, "CSS/Financial Aid Profile|",$E$146=FALSE, "")</f>
        <v>CSS/Financial Aid Profile|</v>
      </c>
    </row>
    <row r="147" spans="1:8" ht="15.95" customHeight="1" x14ac:dyDescent="0.2">
      <c r="A147" s="60"/>
      <c r="B147" s="797" t="s">
        <v>145</v>
      </c>
      <c r="C147" s="820"/>
      <c r="D147" s="820"/>
      <c r="E147" s="260" t="b">
        <v>0</v>
      </c>
      <c r="H147" s="1" t="str" cm="1">
        <f t="array" ref="H147">_xlfn.IFS($E$147=TRUE, "State aid form|",$E$147=FALSE, "")</f>
        <v/>
      </c>
    </row>
    <row r="148" spans="1:8" ht="15.95" customHeight="1" x14ac:dyDescent="0.2">
      <c r="A148" s="60"/>
      <c r="B148" s="797" t="s">
        <v>146</v>
      </c>
      <c r="C148" s="820"/>
      <c r="D148" s="820"/>
      <c r="E148" s="260" t="b">
        <v>0</v>
      </c>
      <c r="H148" s="1" t="str" cm="1">
        <f t="array" ref="H148">_xlfn.IFS($E$148=TRUE, "Noncustodial PROFILE|",$E$148=FALSE, "")</f>
        <v/>
      </c>
    </row>
    <row r="149" spans="1:8" ht="15.95" customHeight="1" x14ac:dyDescent="0.2">
      <c r="A149" s="60"/>
      <c r="B149" s="797" t="s">
        <v>147</v>
      </c>
      <c r="C149" s="820"/>
      <c r="D149" s="820"/>
      <c r="E149" s="260" t="b">
        <v>0</v>
      </c>
      <c r="H149" s="1" t="str" cm="1">
        <f t="array" ref="H149">_xlfn.IFS($E$149=TRUE, "Business/Farm Supplement|",$E$149=FALSE, "")</f>
        <v/>
      </c>
    </row>
    <row r="150" spans="1:8" ht="15.95" customHeight="1" x14ac:dyDescent="0.2">
      <c r="A150" s="60"/>
      <c r="B150" s="580" t="s">
        <v>139</v>
      </c>
      <c r="C150" s="580"/>
      <c r="D150" s="580"/>
      <c r="E150" s="260" t="b">
        <v>0</v>
      </c>
      <c r="H150" s="1" t="str" cm="1">
        <f t="array" ref="H150">_xlfn.IFS($E$150=TRUE, "Other|",$E$150=FALSE, "")</f>
        <v/>
      </c>
    </row>
    <row r="151" spans="1:8" ht="12.75" x14ac:dyDescent="0.2">
      <c r="A151" s="3"/>
      <c r="B151" s="824"/>
      <c r="C151" s="824"/>
      <c r="D151" s="824"/>
    </row>
    <row r="152" spans="1:8" ht="12.75" x14ac:dyDescent="0.2"/>
    <row r="153" spans="1:8" ht="12.75" x14ac:dyDescent="0.2">
      <c r="A153" s="3" t="s">
        <v>148</v>
      </c>
      <c r="B153" s="716" t="s">
        <v>149</v>
      </c>
      <c r="C153" s="716"/>
      <c r="D153" s="716"/>
      <c r="E153" s="716"/>
      <c r="F153" s="716"/>
    </row>
    <row r="154" spans="1:8" ht="18.75" customHeight="1" x14ac:dyDescent="0.2">
      <c r="A154" s="3"/>
      <c r="B154" s="13"/>
      <c r="C154" s="51" t="s">
        <v>150</v>
      </c>
      <c r="D154" s="261">
        <v>44941</v>
      </c>
      <c r="E154" s="54"/>
      <c r="F154" s="55"/>
    </row>
    <row r="155" spans="1:8" ht="22.5" customHeight="1" x14ac:dyDescent="0.2">
      <c r="A155" s="3"/>
      <c r="B155" s="13"/>
      <c r="C155" s="51" t="s">
        <v>151</v>
      </c>
      <c r="D155" s="262">
        <v>44941</v>
      </c>
      <c r="E155" s="54"/>
    </row>
    <row r="156" spans="1:8" ht="11.25" customHeight="1" x14ac:dyDescent="0.2">
      <c r="A156" s="3"/>
      <c r="B156" s="13"/>
      <c r="C156" s="51"/>
      <c r="D156" s="56"/>
      <c r="E156" s="54"/>
    </row>
    <row r="157" spans="1:8" ht="17.100000000000001" customHeight="1" x14ac:dyDescent="0.2">
      <c r="A157" s="3"/>
      <c r="B157" s="141"/>
      <c r="C157" s="580" t="s">
        <v>152</v>
      </c>
      <c r="D157" s="263" t="b">
        <v>0</v>
      </c>
      <c r="E157" s="57"/>
    </row>
    <row r="158" spans="1:8" ht="12.75" x14ac:dyDescent="0.2">
      <c r="B158" s="57"/>
      <c r="C158" s="580"/>
    </row>
    <row r="159" spans="1:8" ht="12.75" x14ac:dyDescent="0.2">
      <c r="B159" s="52"/>
      <c r="C159" s="52"/>
    </row>
    <row r="160" spans="1:8" ht="20.100000000000001" customHeight="1" x14ac:dyDescent="0.2">
      <c r="A160" s="3" t="s">
        <v>153</v>
      </c>
      <c r="B160" s="561" t="s">
        <v>154</v>
      </c>
      <c r="C160" s="561"/>
      <c r="D160" s="561"/>
      <c r="E160" s="561"/>
      <c r="F160" s="561"/>
    </row>
    <row r="161" spans="1:8" ht="12.75" x14ac:dyDescent="0.2">
      <c r="A161" s="3"/>
      <c r="B161" s="5"/>
      <c r="C161" s="5"/>
      <c r="D161" s="5"/>
      <c r="E161" s="5"/>
      <c r="F161" s="5"/>
    </row>
    <row r="162" spans="1:8" ht="12.75" x14ac:dyDescent="0.2">
      <c r="A162" s="3"/>
      <c r="C162" s="2" t="s">
        <v>155</v>
      </c>
      <c r="D162" s="56"/>
      <c r="E162" s="58"/>
      <c r="F162" s="55"/>
    </row>
    <row r="163" spans="1:8" ht="12.75" x14ac:dyDescent="0.2">
      <c r="A163" s="3"/>
      <c r="C163" s="264">
        <v>45005</v>
      </c>
      <c r="D163" s="56"/>
      <c r="E163" s="58"/>
      <c r="F163" s="55"/>
    </row>
    <row r="164" spans="1:8" ht="12.75" x14ac:dyDescent="0.2">
      <c r="A164" s="3"/>
      <c r="B164" s="560"/>
      <c r="C164" s="560"/>
      <c r="D164" s="59"/>
      <c r="E164" s="60"/>
      <c r="F164" s="55"/>
    </row>
    <row r="165" spans="1:8" ht="12.75" x14ac:dyDescent="0.2">
      <c r="A165" s="3"/>
      <c r="C165" s="176" t="s">
        <v>156</v>
      </c>
      <c r="D165" s="12"/>
      <c r="E165" s="12"/>
      <c r="F165" s="55"/>
    </row>
    <row r="166" spans="1:8" ht="20.100000000000001" customHeight="1" x14ac:dyDescent="0.2">
      <c r="A166" s="3"/>
      <c r="B166" s="60"/>
      <c r="C166" s="177" t="s">
        <v>1147</v>
      </c>
      <c r="D166" s="265" t="s">
        <v>157</v>
      </c>
      <c r="H166" s="1" t="str" cm="1">
        <f t="array" ref="H166">_xlfn.IFS(D166="YES", "Yes", D166="yes", "Yes", D166="Yes", "Yes", D166="NO", "No", D166="no", "No", D166="No", "No")</f>
        <v>No</v>
      </c>
    </row>
    <row r="167" spans="1:8" ht="12.75" x14ac:dyDescent="0.2">
      <c r="B167" s="60"/>
      <c r="C167" s="51"/>
    </row>
    <row r="168" spans="1:8" ht="12.75" x14ac:dyDescent="0.2">
      <c r="C168" s="61" t="s">
        <v>158</v>
      </c>
    </row>
    <row r="169" spans="1:8" ht="12.75" x14ac:dyDescent="0.2">
      <c r="C169" s="266" t="s">
        <v>603</v>
      </c>
    </row>
    <row r="170" spans="1:8" ht="12.75" x14ac:dyDescent="0.2"/>
    <row r="171" spans="1:8" ht="20.100000000000001" customHeight="1" x14ac:dyDescent="0.2">
      <c r="A171" s="3" t="s">
        <v>159</v>
      </c>
      <c r="B171" s="716" t="s">
        <v>160</v>
      </c>
      <c r="C171" s="716"/>
    </row>
    <row r="172" spans="1:8" ht="15.95" customHeight="1" x14ac:dyDescent="0.2">
      <c r="A172" s="3"/>
      <c r="B172" s="822" t="s">
        <v>161</v>
      </c>
      <c r="C172" s="822"/>
      <c r="D172" s="292">
        <v>45047</v>
      </c>
    </row>
    <row r="173" spans="1:8" ht="15.95" customHeight="1" x14ac:dyDescent="0.2">
      <c r="A173" s="3"/>
      <c r="B173" s="822" t="s">
        <v>162</v>
      </c>
      <c r="C173" s="822"/>
      <c r="D173" s="244" t="s">
        <v>603</v>
      </c>
    </row>
    <row r="174" spans="1:8" ht="12.75" x14ac:dyDescent="0.2"/>
    <row r="175" spans="1:8" ht="15.75" x14ac:dyDescent="0.2">
      <c r="B175" s="53" t="s">
        <v>163</v>
      </c>
    </row>
    <row r="176" spans="1:8" ht="20.25" customHeight="1" x14ac:dyDescent="0.2">
      <c r="B176" s="178" t="s">
        <v>164</v>
      </c>
    </row>
    <row r="177" spans="1:8" ht="12.75" x14ac:dyDescent="0.2">
      <c r="A177" s="3" t="s">
        <v>165</v>
      </c>
      <c r="B177" s="823" t="s">
        <v>166</v>
      </c>
      <c r="C177" s="823"/>
    </row>
    <row r="178" spans="1:8" ht="12.75" x14ac:dyDescent="0.2">
      <c r="A178" s="3"/>
      <c r="B178" s="716"/>
      <c r="C178" s="716"/>
      <c r="D178" s="716"/>
    </row>
    <row r="179" spans="1:8" ht="17.100000000000001" customHeight="1" x14ac:dyDescent="0.2">
      <c r="A179" s="60"/>
      <c r="B179" s="797" t="s">
        <v>167</v>
      </c>
      <c r="C179" s="797"/>
      <c r="D179" s="820"/>
      <c r="E179" s="231" t="b">
        <v>1</v>
      </c>
      <c r="H179" s="1" t="str" cm="1">
        <f t="array" ref="H179">_xlfn.IFS($E$179=TRUE, "Direct Subsidized Stafford Loans|", $E$179=FALSE, "")</f>
        <v>Direct Subsidized Stafford Loans|</v>
      </c>
    </row>
    <row r="180" spans="1:8" ht="17.100000000000001" customHeight="1" x14ac:dyDescent="0.2">
      <c r="A180" s="60"/>
      <c r="B180" s="797" t="s">
        <v>168</v>
      </c>
      <c r="C180" s="797"/>
      <c r="D180" s="797"/>
      <c r="E180" s="231" t="b">
        <v>1</v>
      </c>
      <c r="H180" s="1" t="str" cm="1">
        <f t="array" ref="H180">_xlfn.IFS($E$180=TRUE, "Direct Unsubsidized Stafford Loans|", $E$180=FALSE, "")</f>
        <v>Direct Unsubsidized Stafford Loans|</v>
      </c>
    </row>
    <row r="181" spans="1:8" ht="17.100000000000001" customHeight="1" x14ac:dyDescent="0.2">
      <c r="A181" s="60"/>
      <c r="B181" s="797" t="s">
        <v>169</v>
      </c>
      <c r="C181" s="797"/>
      <c r="D181" s="797"/>
      <c r="E181" s="231" t="b">
        <v>1</v>
      </c>
      <c r="H181" s="1" t="str" cm="1">
        <f t="array" ref="H181">_xlfn.IFS($E$181=TRUE, "Direct PLUS Loans|", $E$181=FALSE, "")</f>
        <v>Direct PLUS Loans|</v>
      </c>
    </row>
    <row r="182" spans="1:8" ht="17.100000000000001" customHeight="1" x14ac:dyDescent="0.2">
      <c r="A182" s="60"/>
      <c r="B182" s="797" t="s">
        <v>170</v>
      </c>
      <c r="C182" s="797"/>
      <c r="D182" s="797"/>
      <c r="E182" s="231" t="b">
        <v>0</v>
      </c>
      <c r="H182" s="1" t="str" cm="1">
        <f t="array" ref="H182">_xlfn.IFS($E$182=TRUE, "Federal Perkins Loans|", $E$182=FALSE, "")</f>
        <v/>
      </c>
    </row>
    <row r="183" spans="1:8" ht="17.100000000000001" customHeight="1" x14ac:dyDescent="0.2">
      <c r="A183" s="60"/>
      <c r="B183" s="797" t="s">
        <v>171</v>
      </c>
      <c r="C183" s="797"/>
      <c r="D183" s="797"/>
      <c r="E183" s="231" t="b">
        <v>0</v>
      </c>
      <c r="H183" s="1" t="str" cm="1">
        <f t="array" ref="H183">_xlfn.IFS($E$183=TRUE, "Federal Nursing Loans|", $E$183=FALSE, "")</f>
        <v/>
      </c>
    </row>
    <row r="184" spans="1:8" ht="17.100000000000001" customHeight="1" x14ac:dyDescent="0.2">
      <c r="A184" s="60"/>
      <c r="B184" s="797" t="s">
        <v>172</v>
      </c>
      <c r="C184" s="797"/>
      <c r="D184" s="797"/>
      <c r="E184" s="231" t="b">
        <v>0</v>
      </c>
      <c r="H184" s="1" t="str" cm="1">
        <f t="array" ref="H184">_xlfn.IFS($E$184=TRUE, "State Loans|", $E$184=FALSE, "")</f>
        <v/>
      </c>
    </row>
    <row r="185" spans="1:8" ht="17.100000000000001" customHeight="1" x14ac:dyDescent="0.2">
      <c r="A185" s="60"/>
      <c r="B185" s="797" t="s">
        <v>173</v>
      </c>
      <c r="C185" s="797"/>
      <c r="D185" s="797"/>
      <c r="E185" s="231" t="b">
        <v>1</v>
      </c>
      <c r="H185" s="1" t="str" cm="1">
        <f t="array" ref="H185">_xlfn.IFS($E$185=TRUE, "College/university loans from institutional funds|", $E$185=FALSE, "")</f>
        <v>College/university loans from institutional funds|</v>
      </c>
    </row>
    <row r="186" spans="1:8" ht="17.100000000000001" customHeight="1" x14ac:dyDescent="0.2">
      <c r="A186" s="60"/>
      <c r="B186" s="580" t="s">
        <v>139</v>
      </c>
      <c r="C186" s="580"/>
      <c r="D186" s="580"/>
      <c r="E186" s="267" t="b">
        <v>0</v>
      </c>
      <c r="H186" s="1" t="str" cm="1">
        <f t="array" ref="H186">_xlfn.IFS($E$186=TRUE, "Other|", $E$186=FALSE, "")</f>
        <v/>
      </c>
    </row>
    <row r="187" spans="1:8" ht="23.1" customHeight="1" x14ac:dyDescent="0.2">
      <c r="A187" s="3"/>
      <c r="B187" s="824" t="s">
        <v>603</v>
      </c>
      <c r="C187" s="824"/>
      <c r="D187" s="824"/>
    </row>
    <row r="188" spans="1:8" ht="12.75" x14ac:dyDescent="0.2"/>
    <row r="189" spans="1:8" ht="12.75" x14ac:dyDescent="0.2">
      <c r="A189" s="3" t="s">
        <v>174</v>
      </c>
      <c r="B189" s="823" t="s">
        <v>175</v>
      </c>
      <c r="C189" s="823"/>
    </row>
    <row r="190" spans="1:8" ht="12.75" x14ac:dyDescent="0.2">
      <c r="A190" s="3"/>
      <c r="B190" s="716"/>
      <c r="C190" s="716"/>
    </row>
    <row r="191" spans="1:8" ht="17.100000000000001" customHeight="1" x14ac:dyDescent="0.2">
      <c r="A191" s="60"/>
      <c r="B191" s="797" t="s">
        <v>176</v>
      </c>
      <c r="C191" s="797"/>
      <c r="D191" s="797"/>
      <c r="E191" s="231" t="b">
        <v>1</v>
      </c>
      <c r="H191" s="1" t="str" cm="1">
        <f t="array" ref="H191">_xlfn.IFS($E$191=TRUE, "Federal Pell|", $E$191=FALSE, "")</f>
        <v>Federal Pell|</v>
      </c>
    </row>
    <row r="192" spans="1:8" ht="17.100000000000001" customHeight="1" x14ac:dyDescent="0.2">
      <c r="A192" s="60"/>
      <c r="B192" s="797" t="s">
        <v>177</v>
      </c>
      <c r="C192" s="797"/>
      <c r="D192" s="797"/>
      <c r="E192" s="231" t="b">
        <v>1</v>
      </c>
      <c r="H192" s="1" t="str" cm="1">
        <f t="array" ref="H192">_xlfn.IFS($E$192=TRUE, "FSEOG|", $E$192=FALSE, "")</f>
        <v>FSEOG|</v>
      </c>
    </row>
    <row r="193" spans="1:8 16383:16384" ht="17.100000000000001" customHeight="1" x14ac:dyDescent="0.2">
      <c r="A193" s="60"/>
      <c r="B193" s="797" t="s">
        <v>178</v>
      </c>
      <c r="C193" s="797"/>
      <c r="D193" s="797"/>
      <c r="E193" s="231" t="b">
        <v>1</v>
      </c>
      <c r="H193" s="1" t="str" cm="1">
        <f t="array" ref="H193">_xlfn.IFS($E$193=TRUE, "State scholarships/grants|", $E$193=FALSE, "")</f>
        <v>State scholarships/grants|</v>
      </c>
    </row>
    <row r="194" spans="1:8 16383:16384" ht="17.100000000000001" customHeight="1" x14ac:dyDescent="0.2">
      <c r="A194" s="60"/>
      <c r="B194" s="797" t="s">
        <v>179</v>
      </c>
      <c r="C194" s="797"/>
      <c r="D194" s="797"/>
      <c r="E194" s="231" t="b">
        <v>1</v>
      </c>
      <c r="H194" s="1" t="str" cm="1">
        <f t="array" ref="H194">_xlfn.IFS($E$194=TRUE, "Private scholarships|", $E$194=FALSE, "")</f>
        <v>Private scholarships|</v>
      </c>
    </row>
    <row r="195" spans="1:8 16383:16384" ht="17.100000000000001" customHeight="1" x14ac:dyDescent="0.2">
      <c r="A195" s="60"/>
      <c r="B195" s="797" t="s">
        <v>180</v>
      </c>
      <c r="C195" s="797"/>
      <c r="D195" s="797"/>
      <c r="E195" s="231" t="b">
        <v>1</v>
      </c>
      <c r="H195" s="1" t="str" cm="1">
        <f t="array" ref="H195">_xlfn.IFS($E$195=TRUE, "College/university scholarship or grant aid from institutional funds|", $E$195=FALSE, "")</f>
        <v>College/university scholarship or grant aid from institutional funds|</v>
      </c>
    </row>
    <row r="196" spans="1:8 16383:16384" ht="17.100000000000001" customHeight="1" x14ac:dyDescent="0.2">
      <c r="A196" s="60"/>
      <c r="B196" s="797" t="s">
        <v>181</v>
      </c>
      <c r="C196" s="797"/>
      <c r="D196" s="797"/>
      <c r="E196" s="231" t="b">
        <v>0</v>
      </c>
      <c r="H196" s="1" t="str" cm="1">
        <f t="array" ref="H196">_xlfn.IFS($E$196=TRUE, "United Negro College Fund|", $E$196=FALSE, "")</f>
        <v/>
      </c>
    </row>
    <row r="197" spans="1:8 16383:16384" ht="17.100000000000001" customHeight="1" x14ac:dyDescent="0.2">
      <c r="A197" s="60"/>
      <c r="B197" s="797" t="s">
        <v>182</v>
      </c>
      <c r="C197" s="797"/>
      <c r="D197" s="797"/>
      <c r="E197" s="231" t="b">
        <v>0</v>
      </c>
      <c r="H197" s="1" t="str" cm="1">
        <f t="array" ref="H197">_xlfn.IFS($E$197=TRUE, "Federal Nursing Scholarship|", $E$197=FALSE, "")</f>
        <v/>
      </c>
    </row>
    <row r="198" spans="1:8 16383:16384" ht="17.100000000000001" customHeight="1" x14ac:dyDescent="0.2">
      <c r="A198" s="60"/>
      <c r="B198" s="580" t="s">
        <v>139</v>
      </c>
      <c r="C198" s="580"/>
      <c r="D198" s="580"/>
      <c r="E198" s="260" t="b">
        <v>0</v>
      </c>
      <c r="H198" s="1" t="str" cm="1">
        <f t="array" ref="H198">_xlfn.IFS($E$198=TRUE, "Other|", $E$198=FALSE, "")</f>
        <v/>
      </c>
    </row>
    <row r="199" spans="1:8 16383:16384" ht="23.1" customHeight="1" x14ac:dyDescent="0.2">
      <c r="A199" s="3"/>
      <c r="B199" s="824"/>
      <c r="C199" s="824"/>
      <c r="D199" s="824"/>
    </row>
    <row r="200" spans="1:8 16383:16384" ht="12.75" x14ac:dyDescent="0.2"/>
    <row r="201" spans="1:8 16383:16384" ht="17.100000000000001" customHeight="1" x14ac:dyDescent="0.2">
      <c r="A201" s="3" t="s">
        <v>183</v>
      </c>
      <c r="B201" s="716" t="s">
        <v>184</v>
      </c>
      <c r="C201" s="716"/>
      <c r="D201" s="716"/>
      <c r="E201" s="716"/>
      <c r="F201" s="716"/>
    </row>
    <row r="202" spans="1:8 16383:16384" ht="12.75" x14ac:dyDescent="0.2">
      <c r="A202" s="3"/>
      <c r="B202" s="763"/>
      <c r="C202" s="763"/>
      <c r="D202" s="62" t="s">
        <v>185</v>
      </c>
      <c r="E202" s="62" t="s">
        <v>186</v>
      </c>
    </row>
    <row r="203" spans="1:8 16383:16384" ht="15.95" customHeight="1" x14ac:dyDescent="0.2">
      <c r="A203" s="3"/>
      <c r="B203" s="765" t="s">
        <v>187</v>
      </c>
      <c r="C203" s="765"/>
      <c r="D203" s="10"/>
      <c r="E203" s="10"/>
      <c r="F203" s="267" t="b">
        <v>1</v>
      </c>
      <c r="H203" s="1" t="str" cm="1">
        <f t="array" ref="H203">_xlfn.IFS($F$203=TRUE, "Academics|", $F$203=FALSE, "")</f>
        <v>Academics|</v>
      </c>
      <c r="XFC203" s="226" t="b">
        <v>0</v>
      </c>
      <c r="XFD203" s="1" t="str" cm="1">
        <f t="array" ref="XFD203">_xlfn.IFS($XFC$203=TRUE, "Academics|", $XFC$203=FALSE, "")</f>
        <v/>
      </c>
    </row>
    <row r="204" spans="1:8 16383:16384" ht="15.95" customHeight="1" x14ac:dyDescent="0.2">
      <c r="A204" s="3"/>
      <c r="B204" s="765" t="s">
        <v>188</v>
      </c>
      <c r="C204" s="765"/>
      <c r="D204" s="10"/>
      <c r="E204" s="10"/>
      <c r="F204" s="267" t="b">
        <v>0</v>
      </c>
      <c r="H204" s="1" t="str" cm="1">
        <f t="array" ref="H204">_xlfn.IFS($F$204=TRUE, "Alumni affiliation|", $F$204=FALSE, "")</f>
        <v/>
      </c>
      <c r="XFC204" s="226" t="b">
        <v>0</v>
      </c>
      <c r="XFD204" s="1" t="str" cm="1">
        <f t="array" ref="XFD204">_xlfn.IFS($XFC$204=TRUE, "Alumni affiliation|", $XFC$204=FALSE, "")</f>
        <v/>
      </c>
    </row>
    <row r="205" spans="1:8 16383:16384" ht="15.95" customHeight="1" x14ac:dyDescent="0.2">
      <c r="A205" s="3"/>
      <c r="B205" s="765" t="s">
        <v>189</v>
      </c>
      <c r="C205" s="765"/>
      <c r="D205" s="10"/>
      <c r="E205" s="10"/>
      <c r="F205" s="267" t="b">
        <v>1</v>
      </c>
      <c r="H205" s="1" t="str" cm="1">
        <f t="array" ref="H205">_xlfn.IFS($F$205=TRUE, "Art|", $F$205=FALSE, "")</f>
        <v>Art|</v>
      </c>
      <c r="XFC205" s="226" t="b">
        <v>0</v>
      </c>
      <c r="XFD205" s="1" t="str" cm="1">
        <f t="array" ref="XFD205">_xlfn.IFS($XFC$205=TRUE, "Art|", $XFC$205=FALSE, "")</f>
        <v/>
      </c>
    </row>
    <row r="206" spans="1:8 16383:16384" ht="15.95" customHeight="1" x14ac:dyDescent="0.2">
      <c r="A206" s="3"/>
      <c r="B206" s="765" t="s">
        <v>190</v>
      </c>
      <c r="C206" s="765"/>
      <c r="D206" s="10"/>
      <c r="E206" s="10"/>
      <c r="F206" s="267" t="b">
        <v>0</v>
      </c>
      <c r="H206" s="1" t="str" cm="1">
        <f t="array" ref="H206">_xlfn.IFS($F$206=TRUE, "Athletics|", $F$206=FALSE, "")</f>
        <v/>
      </c>
      <c r="XFC206" s="226" t="b">
        <v>0</v>
      </c>
      <c r="XFD206" s="1" t="str" cm="1">
        <f t="array" ref="XFD206">_xlfn.IFS($XFC$206=TRUE, "Athletics|", $XFC$206=FALSE, "")</f>
        <v/>
      </c>
    </row>
    <row r="207" spans="1:8 16383:16384" ht="15.95" customHeight="1" x14ac:dyDescent="0.2">
      <c r="A207" s="3"/>
      <c r="B207" s="765" t="s">
        <v>191</v>
      </c>
      <c r="C207" s="765"/>
      <c r="D207" s="10"/>
      <c r="E207" s="10"/>
      <c r="F207" s="267" t="b">
        <v>0</v>
      </c>
      <c r="H207" s="1" t="str" cm="1">
        <f t="array" ref="H207">_xlfn.IFS($F$207=TRUE, "Job skills|", $F$207=FALSE, "")</f>
        <v/>
      </c>
      <c r="XFC207" s="226" t="b">
        <v>0</v>
      </c>
      <c r="XFD207" s="1" t="str" cm="1">
        <f t="array" ref="XFD207">_xlfn.IFS($XFC$207=TRUE, "Job skills|", $XFC$207=FALSE, "")</f>
        <v/>
      </c>
    </row>
    <row r="208" spans="1:8 16383:16384" ht="15.95" customHeight="1" x14ac:dyDescent="0.2">
      <c r="A208" s="3"/>
      <c r="B208" s="765" t="s">
        <v>192</v>
      </c>
      <c r="C208" s="765"/>
      <c r="D208" s="10"/>
      <c r="E208" s="64"/>
      <c r="F208" s="267" t="b">
        <v>0</v>
      </c>
      <c r="H208" s="1" t="str" cm="1">
        <f t="array" ref="H208">_xlfn.IFS($F$208=TRUE, "ROTC|", $F$208=FALSE, "")</f>
        <v/>
      </c>
      <c r="XFC208" s="226"/>
    </row>
    <row r="209" spans="1:8 16383:16384" ht="15.95" customHeight="1" x14ac:dyDescent="0.2">
      <c r="A209" s="3"/>
      <c r="B209" s="765" t="s">
        <v>193</v>
      </c>
      <c r="C209" s="765"/>
      <c r="D209" s="10"/>
      <c r="E209" s="10"/>
      <c r="F209" s="267" t="b">
        <v>0</v>
      </c>
      <c r="H209" s="1" t="str" cm="1">
        <f t="array" ref="H209">_xlfn.IFS($F$209=TRUE, "Leadership|", $F$209=FALSE, "")</f>
        <v/>
      </c>
      <c r="XFC209" s="226" t="b">
        <v>0</v>
      </c>
      <c r="XFD209" s="1" t="str" cm="1">
        <f t="array" ref="XFD209">_xlfn.IFS($XFC$209=TRUE, "Leadership|", $XFC$209=FALSE, "")</f>
        <v/>
      </c>
    </row>
    <row r="210" spans="1:8 16383:16384" ht="15.95" customHeight="1" x14ac:dyDescent="0.2">
      <c r="A210" s="3"/>
      <c r="B210" s="765" t="s">
        <v>194</v>
      </c>
      <c r="C210" s="765"/>
      <c r="D210" s="10"/>
      <c r="E210" s="10"/>
      <c r="F210" s="267" t="b">
        <v>0</v>
      </c>
      <c r="H210" s="1" t="str" cm="1">
        <f t="array" ref="H210">_xlfn.IFS($F$210=TRUE, "Minority status|", $F$210=FALSE, "")</f>
        <v/>
      </c>
      <c r="XFC210" s="226" t="b">
        <v>0</v>
      </c>
      <c r="XFD210" s="1" t="str" cm="1">
        <f t="array" ref="XFD210">_xlfn.IFS($XFC$210=TRUE, "Minority status|", $XFC$210=FALSE, "")</f>
        <v/>
      </c>
    </row>
    <row r="211" spans="1:8 16383:16384" ht="15.95" customHeight="1" x14ac:dyDescent="0.2">
      <c r="A211" s="3"/>
      <c r="B211" s="765" t="s">
        <v>195</v>
      </c>
      <c r="C211" s="765"/>
      <c r="D211" s="10"/>
      <c r="E211" s="10"/>
      <c r="F211" s="267" t="b">
        <v>1</v>
      </c>
      <c r="H211" s="1" t="str" cm="1">
        <f t="array" ref="H211">_xlfn.IFS($F$211=TRUE, "Music/drama|", $F$211=FALSE, "")</f>
        <v>Music/drama|</v>
      </c>
      <c r="XFC211" s="226" t="b">
        <v>0</v>
      </c>
      <c r="XFD211" s="1" t="str" cm="1">
        <f t="array" ref="XFD211">_xlfn.IFS($XFC$211=TRUE, "Music/drama|", $XFC$211=FALSE, "")</f>
        <v/>
      </c>
    </row>
    <row r="212" spans="1:8 16383:16384" ht="15.95" customHeight="1" x14ac:dyDescent="0.2">
      <c r="A212" s="3"/>
      <c r="B212" s="765" t="s">
        <v>196</v>
      </c>
      <c r="C212" s="765"/>
      <c r="D212" s="10"/>
      <c r="E212" s="10"/>
      <c r="F212" s="267" t="b">
        <v>0</v>
      </c>
      <c r="H212" s="1" t="str" cm="1">
        <f t="array" ref="H212">_xlfn.IFS($F$212=TRUE, "Religious affiliation|", $F$212=FALSE, "")</f>
        <v/>
      </c>
      <c r="XFC212" s="226" t="b">
        <v>0</v>
      </c>
      <c r="XFD212" s="1" t="str" cm="1">
        <f t="array" ref="XFD212">_xlfn.IFS($XFC$212=TRUE, "Religious affiliation|", $XFC$212=FALSE, "")</f>
        <v/>
      </c>
    </row>
    <row r="213" spans="1:8 16383:16384" ht="15.95" customHeight="1" x14ac:dyDescent="0.2">
      <c r="A213" s="3"/>
      <c r="B213" s="765" t="s">
        <v>197</v>
      </c>
      <c r="C213" s="765"/>
      <c r="D213" s="10"/>
      <c r="E213" s="10"/>
      <c r="F213" s="267" t="b">
        <v>0</v>
      </c>
      <c r="H213" s="1" t="str" cm="1">
        <f t="array" ref="H213">_xlfn.IFS($F$213=TRUE, "State/district residency|", $F$213=FALSE, "")</f>
        <v/>
      </c>
      <c r="XFC213" s="226" t="b">
        <v>0</v>
      </c>
      <c r="XFD213" s="1" t="str" cm="1">
        <f t="array" ref="XFD213">_xlfn.IFS($XFC$213=TRUE, "State/district residency|", $XFC$213=FALSE, "")</f>
        <v/>
      </c>
    </row>
    <row r="214" spans="1:8 16383:16384" ht="12.75" x14ac:dyDescent="0.2"/>
    <row r="215" spans="1:8 16383:16384" ht="50.25" customHeight="1" x14ac:dyDescent="0.2">
      <c r="A215" s="3" t="s">
        <v>198</v>
      </c>
      <c r="B215" s="555" t="s">
        <v>199</v>
      </c>
      <c r="C215" s="555"/>
      <c r="D215" s="555"/>
      <c r="E215" s="555"/>
    </row>
    <row r="216" spans="1:8 16383:16384" ht="12.75" x14ac:dyDescent="0.2">
      <c r="B216" s="825" t="s">
        <v>1989</v>
      </c>
      <c r="C216" s="825"/>
      <c r="D216" s="825"/>
      <c r="E216" s="825"/>
    </row>
    <row r="217" spans="1:8 16383:16384" ht="12.75" x14ac:dyDescent="0.2">
      <c r="B217" s="825"/>
      <c r="C217" s="825"/>
      <c r="D217" s="825"/>
      <c r="E217" s="825"/>
    </row>
    <row r="218" spans="1:8 16383:16384" ht="12.75" x14ac:dyDescent="0.2">
      <c r="B218" s="825"/>
      <c r="C218" s="825"/>
      <c r="D218" s="825"/>
      <c r="E218" s="825"/>
    </row>
    <row r="219" spans="1:8 16383:16384" ht="12.75" x14ac:dyDescent="0.2">
      <c r="B219" s="825"/>
      <c r="C219" s="825"/>
      <c r="D219" s="825"/>
      <c r="E219" s="825"/>
    </row>
    <row r="220" spans="1:8 16383:16384" ht="12.75" x14ac:dyDescent="0.2"/>
    <row r="221" spans="1:8 16383:16384" ht="12.75" x14ac:dyDescent="0.2">
      <c r="B221" s="774" t="s">
        <v>200</v>
      </c>
      <c r="C221" s="774"/>
      <c r="D221" s="774"/>
      <c r="E221" s="774"/>
    </row>
    <row r="222" spans="1:8 16383:16384" ht="24" customHeight="1" x14ac:dyDescent="0.2">
      <c r="B222" s="65"/>
      <c r="C222" s="38" t="s">
        <v>1147</v>
      </c>
      <c r="D222" s="268" t="s">
        <v>603</v>
      </c>
      <c r="E222" s="65"/>
      <c r="H222" s="1" t="e" cm="1">
        <f t="array" ref="H222">_xlfn.IFS($D$222="YES", "Yes", $D$222="yes", "Yes", $D$222="Yes", "Yes", $D$222="NO", "No", $D$222="no", "No", $D$222="No", "No")</f>
        <v>#N/A</v>
      </c>
    </row>
    <row r="223" spans="1:8 16383:16384" ht="12.75" x14ac:dyDescent="0.2">
      <c r="B223" s="60"/>
      <c r="C223" s="51"/>
    </row>
    <row r="224" spans="1:8 16383:16384" ht="12.75" x14ac:dyDescent="0.2">
      <c r="B224" s="60"/>
      <c r="C224" s="51"/>
    </row>
    <row r="225" spans="2:6" ht="12.75" x14ac:dyDescent="0.2">
      <c r="B225" s="226"/>
      <c r="C225" s="226"/>
      <c r="D225" s="226"/>
      <c r="E225" s="226"/>
      <c r="F225" s="226"/>
    </row>
    <row r="226" spans="2:6" ht="12.75" x14ac:dyDescent="0.2">
      <c r="B226" s="226"/>
      <c r="C226" s="226"/>
      <c r="D226" s="226"/>
      <c r="E226" s="226"/>
      <c r="F226" s="226"/>
    </row>
    <row r="227" spans="2:6" ht="12.75" x14ac:dyDescent="0.2">
      <c r="B227" s="226"/>
      <c r="C227" s="226"/>
      <c r="D227" s="226"/>
      <c r="E227" s="226"/>
      <c r="F227" s="226"/>
    </row>
    <row r="228" spans="2:6" ht="12.75" x14ac:dyDescent="0.2">
      <c r="B228" s="226"/>
      <c r="C228" s="226"/>
      <c r="D228" s="226"/>
      <c r="E228" s="226"/>
      <c r="F228" s="226"/>
    </row>
    <row r="229" spans="2:6" ht="12.75" x14ac:dyDescent="0.2">
      <c r="B229" s="226"/>
      <c r="C229" s="226"/>
      <c r="D229" s="226"/>
      <c r="E229" s="226"/>
      <c r="F229" s="226"/>
    </row>
    <row r="230" spans="2:6" ht="12.75" x14ac:dyDescent="0.2">
      <c r="B230" s="226"/>
      <c r="C230" s="226"/>
      <c r="D230" s="226"/>
      <c r="E230" s="226"/>
      <c r="F230" s="226"/>
    </row>
    <row r="231" spans="2:6" ht="12.75" x14ac:dyDescent="0.2">
      <c r="B231" s="226"/>
      <c r="C231" s="226"/>
      <c r="D231" s="226"/>
      <c r="E231" s="226"/>
      <c r="F231" s="226"/>
    </row>
    <row r="232" spans="2:6" ht="12.75" x14ac:dyDescent="0.2">
      <c r="B232" s="226"/>
      <c r="C232" s="226"/>
      <c r="D232" s="226"/>
      <c r="E232" s="226"/>
      <c r="F232" s="226"/>
    </row>
    <row r="233" spans="2:6" ht="12.75" x14ac:dyDescent="0.2">
      <c r="B233" s="226"/>
      <c r="C233" s="226"/>
      <c r="D233" s="226"/>
      <c r="E233" s="226"/>
      <c r="F233" s="226"/>
    </row>
    <row r="234" spans="2:6" ht="12.75" x14ac:dyDescent="0.2">
      <c r="B234" s="226"/>
      <c r="C234" s="226"/>
      <c r="D234" s="226"/>
      <c r="E234" s="226"/>
      <c r="F234" s="226"/>
    </row>
    <row r="235" spans="2:6" ht="12.75" x14ac:dyDescent="0.2"/>
    <row r="236" spans="2:6" ht="12.75" x14ac:dyDescent="0.2"/>
  </sheetData>
  <sheetProtection algorithmName="SHA-512" hashValue="taRZ87fPXoBsF4cKBRt8y0/Xupqvr8SP1AyMhk9+ehHHGbIG0WvF/9+Ifh3PAiwArCeXsK5Yj0+FUvBftwOUuA==" saltValue="VF16FfAdgWRSQHYUjbLQNQ==" spinCount="100000" sheet="1" objects="1" scenarios="1"/>
  <mergeCells count="148">
    <mergeCell ref="B213:C213"/>
    <mergeCell ref="B215:E215"/>
    <mergeCell ref="B216:E219"/>
    <mergeCell ref="B221:E221"/>
    <mergeCell ref="B207:C207"/>
    <mergeCell ref="B208:C208"/>
    <mergeCell ref="B209:C209"/>
    <mergeCell ref="B210:C210"/>
    <mergeCell ref="B211:C211"/>
    <mergeCell ref="B212:C212"/>
    <mergeCell ref="B201:F201"/>
    <mergeCell ref="B202:C202"/>
    <mergeCell ref="B203:C203"/>
    <mergeCell ref="B204:C204"/>
    <mergeCell ref="B205:C205"/>
    <mergeCell ref="B206:C206"/>
    <mergeCell ref="B194:D194"/>
    <mergeCell ref="B195:D195"/>
    <mergeCell ref="B196:D196"/>
    <mergeCell ref="B197:D197"/>
    <mergeCell ref="B198:D198"/>
    <mergeCell ref="B199:D199"/>
    <mergeCell ref="B187:D187"/>
    <mergeCell ref="B189:C189"/>
    <mergeCell ref="B190:C190"/>
    <mergeCell ref="B191:D191"/>
    <mergeCell ref="B192:D192"/>
    <mergeCell ref="B193:D193"/>
    <mergeCell ref="B181:D181"/>
    <mergeCell ref="B182:D182"/>
    <mergeCell ref="B183:D183"/>
    <mergeCell ref="B184:D184"/>
    <mergeCell ref="B185:D185"/>
    <mergeCell ref="B186:D186"/>
    <mergeCell ref="B172:C172"/>
    <mergeCell ref="B173:C173"/>
    <mergeCell ref="B177:C177"/>
    <mergeCell ref="B178:D178"/>
    <mergeCell ref="B179:D179"/>
    <mergeCell ref="B180:D180"/>
    <mergeCell ref="B151:D151"/>
    <mergeCell ref="B153:F153"/>
    <mergeCell ref="C157:C158"/>
    <mergeCell ref="B160:F160"/>
    <mergeCell ref="B164:C164"/>
    <mergeCell ref="B171:C171"/>
    <mergeCell ref="B145:D145"/>
    <mergeCell ref="B146:D146"/>
    <mergeCell ref="B147:D147"/>
    <mergeCell ref="B148:D148"/>
    <mergeCell ref="B149:D149"/>
    <mergeCell ref="B150:D150"/>
    <mergeCell ref="B135:D135"/>
    <mergeCell ref="B136:D136"/>
    <mergeCell ref="B137:D137"/>
    <mergeCell ref="B138:D138"/>
    <mergeCell ref="B142:F142"/>
    <mergeCell ref="B144:D144"/>
    <mergeCell ref="B125:E125"/>
    <mergeCell ref="B127:E127"/>
    <mergeCell ref="B129:E129"/>
    <mergeCell ref="B131:F131"/>
    <mergeCell ref="B133:D133"/>
    <mergeCell ref="B134:D134"/>
    <mergeCell ref="B116:F116"/>
    <mergeCell ref="C117:F117"/>
    <mergeCell ref="B119:F119"/>
    <mergeCell ref="B121:D121"/>
    <mergeCell ref="B122:D122"/>
    <mergeCell ref="B123:D123"/>
    <mergeCell ref="A107:F107"/>
    <mergeCell ref="A108:A109"/>
    <mergeCell ref="B108:C109"/>
    <mergeCell ref="D108:D109"/>
    <mergeCell ref="E108:E109"/>
    <mergeCell ref="F108:F109"/>
    <mergeCell ref="C100:F100"/>
    <mergeCell ref="C101:F101"/>
    <mergeCell ref="B103:E103"/>
    <mergeCell ref="B104:F104"/>
    <mergeCell ref="A105:F105"/>
    <mergeCell ref="A106:F106"/>
    <mergeCell ref="C94:F94"/>
    <mergeCell ref="C95:F95"/>
    <mergeCell ref="C96:F96"/>
    <mergeCell ref="C97:F97"/>
    <mergeCell ref="C98:F98"/>
    <mergeCell ref="C99:F99"/>
    <mergeCell ref="B81:F81"/>
    <mergeCell ref="B82:F82"/>
    <mergeCell ref="B83:F83"/>
    <mergeCell ref="B84:F84"/>
    <mergeCell ref="C91:F91"/>
    <mergeCell ref="C93:F93"/>
    <mergeCell ref="B58:D58"/>
    <mergeCell ref="B60:F60"/>
    <mergeCell ref="B61:F61"/>
    <mergeCell ref="B62:F62"/>
    <mergeCell ref="B63:F63"/>
    <mergeCell ref="B64:F64"/>
    <mergeCell ref="B52:D52"/>
    <mergeCell ref="B53:D53"/>
    <mergeCell ref="B54:D54"/>
    <mergeCell ref="B55:D55"/>
    <mergeCell ref="B56:D56"/>
    <mergeCell ref="B57:D57"/>
    <mergeCell ref="B44:D44"/>
    <mergeCell ref="B46:D46"/>
    <mergeCell ref="B47:D47"/>
    <mergeCell ref="B48:D48"/>
    <mergeCell ref="B49:D49"/>
    <mergeCell ref="B50:D50"/>
    <mergeCell ref="B36:D36"/>
    <mergeCell ref="B37:D37"/>
    <mergeCell ref="B38:F38"/>
    <mergeCell ref="B40:C40"/>
    <mergeCell ref="B41:C41"/>
    <mergeCell ref="B42:C42"/>
    <mergeCell ref="B29:F29"/>
    <mergeCell ref="B30:F30"/>
    <mergeCell ref="B31:F31"/>
    <mergeCell ref="B32:F32"/>
    <mergeCell ref="B33:F33"/>
    <mergeCell ref="B34:F34"/>
    <mergeCell ref="B21:F21"/>
    <mergeCell ref="B22:F22"/>
    <mergeCell ref="B23:F23"/>
    <mergeCell ref="B25:F25"/>
    <mergeCell ref="B27:F27"/>
    <mergeCell ref="B28:F28"/>
    <mergeCell ref="D17:E17"/>
    <mergeCell ref="D18:E18"/>
    <mergeCell ref="B20:F20"/>
    <mergeCell ref="B8:F8"/>
    <mergeCell ref="B9:F9"/>
    <mergeCell ref="B10:F10"/>
    <mergeCell ref="B11:F11"/>
    <mergeCell ref="B12:F12"/>
    <mergeCell ref="B13:F13"/>
    <mergeCell ref="A1:F1"/>
    <mergeCell ref="B3:F3"/>
    <mergeCell ref="B4:F4"/>
    <mergeCell ref="B5:F5"/>
    <mergeCell ref="B6:F6"/>
    <mergeCell ref="B7:F7"/>
    <mergeCell ref="B14:F14"/>
    <mergeCell ref="D15:E15"/>
    <mergeCell ref="D16:E16"/>
  </mergeCells>
  <dataValidations count="1">
    <dataValidation type="textLength" operator="lessThanOrEqual" allowBlank="1" showInputMessage="1" showErrorMessage="1" sqref="D166 D222" xr:uid="{00000000-0002-0000-0800-000000000000}">
      <formula1>3</formula1>
    </dataValidation>
  </dataValidations>
  <pageMargins left="0.75" right="0.75" top="1" bottom="1" header="0.5" footer="0.5"/>
  <pageSetup scale="75" orientation="portrait" r:id="rId1"/>
  <headerFooter alignWithMargins="0">
    <oddHeader>&amp;LCommon Data Set 2021-2022</oddHeader>
    <oddFooter>&amp;LCDS-H&amp;C
&amp;RPage &amp;P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0</xdr:col>
                    <xdr:colOff>76200</xdr:colOff>
                    <xdr:row>38</xdr:row>
                    <xdr:rowOff>161925</xdr:rowOff>
                  </from>
                  <to>
                    <xdr:col>0</xdr:col>
                    <xdr:colOff>342900</xdr:colOff>
                    <xdr:row>39</xdr:row>
                    <xdr:rowOff>219075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0</xdr:col>
                    <xdr:colOff>76200</xdr:colOff>
                    <xdr:row>39</xdr:row>
                    <xdr:rowOff>219075</xdr:rowOff>
                  </from>
                  <to>
                    <xdr:col>1</xdr:col>
                    <xdr:colOff>0</xdr:colOff>
                    <xdr:row>41</xdr:row>
                    <xdr:rowOff>9525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0</xdr:col>
                    <xdr:colOff>76200</xdr:colOff>
                    <xdr:row>41</xdr:row>
                    <xdr:rowOff>0</xdr:rowOff>
                  </from>
                  <to>
                    <xdr:col>1</xdr:col>
                    <xdr:colOff>0</xdr:colOff>
                    <xdr:row>42</xdr:row>
                    <xdr:rowOff>9525</xdr:rowOff>
                  </to>
                </anchor>
              </controlPr>
            </control>
          </mc:Choice>
        </mc:AlternateContent>
        <mc:AlternateContent xmlns:mc="http://schemas.openxmlformats.org/markup-compatibility/2006">
          <mc:Choice Requires="x14">
            <control shapeId="1028" r:id="rId7" name="Option Button 4">
              <controlPr defaultSize="0" autoFill="0" autoLine="0" autoPict="0">
                <anchor moveWithCells="1">
                  <from>
                    <xdr:col>0</xdr:col>
                    <xdr:colOff>76200</xdr:colOff>
                    <xdr:row>120</xdr:row>
                    <xdr:rowOff>0</xdr:rowOff>
                  </from>
                  <to>
                    <xdr:col>2</xdr:col>
                    <xdr:colOff>904875</xdr:colOff>
                    <xdr:row>121</xdr:row>
                    <xdr:rowOff>9525</xdr:rowOff>
                  </to>
                </anchor>
              </controlPr>
            </control>
          </mc:Choice>
        </mc:AlternateContent>
        <mc:AlternateContent xmlns:mc="http://schemas.openxmlformats.org/markup-compatibility/2006">
          <mc:Choice Requires="x14">
            <control shapeId="1029" r:id="rId8" name="Option Button 5">
              <controlPr defaultSize="0" autoFill="0" autoLine="0" autoPict="0">
                <anchor moveWithCells="1">
                  <from>
                    <xdr:col>0</xdr:col>
                    <xdr:colOff>76200</xdr:colOff>
                    <xdr:row>121</xdr:row>
                    <xdr:rowOff>0</xdr:rowOff>
                  </from>
                  <to>
                    <xdr:col>2</xdr:col>
                    <xdr:colOff>752475</xdr:colOff>
                    <xdr:row>122</xdr:row>
                    <xdr:rowOff>0</xdr:rowOff>
                  </to>
                </anchor>
              </controlPr>
            </control>
          </mc:Choice>
        </mc:AlternateContent>
        <mc:AlternateContent xmlns:mc="http://schemas.openxmlformats.org/markup-compatibility/2006">
          <mc:Choice Requires="x14">
            <control shapeId="1030" r:id="rId9" name="Option Button 6">
              <controlPr defaultSize="0" autoFill="0" autoLine="0" autoPict="0">
                <anchor moveWithCells="1">
                  <from>
                    <xdr:col>0</xdr:col>
                    <xdr:colOff>76200</xdr:colOff>
                    <xdr:row>122</xdr:row>
                    <xdr:rowOff>0</xdr:rowOff>
                  </from>
                  <to>
                    <xdr:col>2</xdr:col>
                    <xdr:colOff>942975</xdr:colOff>
                    <xdr:row>123</xdr:row>
                    <xdr:rowOff>9525</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0</xdr:col>
                    <xdr:colOff>85725</xdr:colOff>
                    <xdr:row>131</xdr:row>
                    <xdr:rowOff>152400</xdr:rowOff>
                  </from>
                  <to>
                    <xdr:col>1</xdr:col>
                    <xdr:colOff>0</xdr:colOff>
                    <xdr:row>132</xdr:row>
                    <xdr:rowOff>190500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0</xdr:col>
                    <xdr:colOff>85725</xdr:colOff>
                    <xdr:row>134</xdr:row>
                    <xdr:rowOff>0</xdr:rowOff>
                  </from>
                  <to>
                    <xdr:col>0</xdr:col>
                    <xdr:colOff>342900</xdr:colOff>
                    <xdr:row>134</xdr:row>
                    <xdr:rowOff>200025</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0</xdr:col>
                    <xdr:colOff>85725</xdr:colOff>
                    <xdr:row>133</xdr:row>
                    <xdr:rowOff>9525</xdr:rowOff>
                  </from>
                  <to>
                    <xdr:col>1</xdr:col>
                    <xdr:colOff>0</xdr:colOff>
                    <xdr:row>134</xdr:row>
                    <xdr:rowOff>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0</xdr:col>
                    <xdr:colOff>85725</xdr:colOff>
                    <xdr:row>135</xdr:row>
                    <xdr:rowOff>9525</xdr:rowOff>
                  </from>
                  <to>
                    <xdr:col>1</xdr:col>
                    <xdr:colOff>9525</xdr:colOff>
                    <xdr:row>136</xdr:row>
                    <xdr:rowOff>9525</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0</xdr:col>
                    <xdr:colOff>85725</xdr:colOff>
                    <xdr:row>136</xdr:row>
                    <xdr:rowOff>9525</xdr:rowOff>
                  </from>
                  <to>
                    <xdr:col>1</xdr:col>
                    <xdr:colOff>0</xdr:colOff>
                    <xdr:row>137</xdr:row>
                    <xdr:rowOff>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0</xdr:col>
                    <xdr:colOff>76200</xdr:colOff>
                    <xdr:row>143</xdr:row>
                    <xdr:rowOff>9525</xdr:rowOff>
                  </from>
                  <to>
                    <xdr:col>0</xdr:col>
                    <xdr:colOff>333375</xdr:colOff>
                    <xdr:row>144</xdr:row>
                    <xdr:rowOff>0</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0</xdr:col>
                    <xdr:colOff>76200</xdr:colOff>
                    <xdr:row>144</xdr:row>
                    <xdr:rowOff>9525</xdr:rowOff>
                  </from>
                  <to>
                    <xdr:col>0</xdr:col>
                    <xdr:colOff>333375</xdr:colOff>
                    <xdr:row>145</xdr:row>
                    <xdr:rowOff>0</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0</xdr:col>
                    <xdr:colOff>76200</xdr:colOff>
                    <xdr:row>145</xdr:row>
                    <xdr:rowOff>9525</xdr:rowOff>
                  </from>
                  <to>
                    <xdr:col>0</xdr:col>
                    <xdr:colOff>333375</xdr:colOff>
                    <xdr:row>146</xdr:row>
                    <xdr:rowOff>0</xdr:rowOff>
                  </to>
                </anchor>
              </controlPr>
            </control>
          </mc:Choice>
        </mc:AlternateContent>
        <mc:AlternateContent xmlns:mc="http://schemas.openxmlformats.org/markup-compatibility/2006">
          <mc:Choice Requires="x14">
            <control shapeId="1039" r:id="rId18" name="Check Box 15">
              <controlPr defaultSize="0" autoFill="0" autoLine="0" autoPict="0">
                <anchor moveWithCells="1">
                  <from>
                    <xdr:col>0</xdr:col>
                    <xdr:colOff>76200</xdr:colOff>
                    <xdr:row>146</xdr:row>
                    <xdr:rowOff>9525</xdr:rowOff>
                  </from>
                  <to>
                    <xdr:col>0</xdr:col>
                    <xdr:colOff>333375</xdr:colOff>
                    <xdr:row>147</xdr:row>
                    <xdr:rowOff>9525</xdr:rowOff>
                  </to>
                </anchor>
              </controlPr>
            </control>
          </mc:Choice>
        </mc:AlternateContent>
        <mc:AlternateContent xmlns:mc="http://schemas.openxmlformats.org/markup-compatibility/2006">
          <mc:Choice Requires="x14">
            <control shapeId="1040" r:id="rId19" name="Check Box 16">
              <controlPr defaultSize="0" autoFill="0" autoLine="0" autoPict="0">
                <anchor moveWithCells="1">
                  <from>
                    <xdr:col>0</xdr:col>
                    <xdr:colOff>76200</xdr:colOff>
                    <xdr:row>147</xdr:row>
                    <xdr:rowOff>9525</xdr:rowOff>
                  </from>
                  <to>
                    <xdr:col>0</xdr:col>
                    <xdr:colOff>333375</xdr:colOff>
                    <xdr:row>148</xdr:row>
                    <xdr:rowOff>0</xdr:rowOff>
                  </to>
                </anchor>
              </controlPr>
            </control>
          </mc:Choice>
        </mc:AlternateContent>
        <mc:AlternateContent xmlns:mc="http://schemas.openxmlformats.org/markup-compatibility/2006">
          <mc:Choice Requires="x14">
            <control shapeId="1041" r:id="rId20" name="Check Box 17">
              <controlPr defaultSize="0" autoFill="0" autoLine="0" autoPict="0">
                <anchor moveWithCells="1">
                  <from>
                    <xdr:col>0</xdr:col>
                    <xdr:colOff>76200</xdr:colOff>
                    <xdr:row>148</xdr:row>
                    <xdr:rowOff>0</xdr:rowOff>
                  </from>
                  <to>
                    <xdr:col>0</xdr:col>
                    <xdr:colOff>333375</xdr:colOff>
                    <xdr:row>149</xdr:row>
                    <xdr:rowOff>0</xdr:rowOff>
                  </to>
                </anchor>
              </controlPr>
            </control>
          </mc:Choice>
        </mc:AlternateContent>
        <mc:AlternateContent xmlns:mc="http://schemas.openxmlformats.org/markup-compatibility/2006">
          <mc:Choice Requires="x14">
            <control shapeId="1042" r:id="rId21" name="Check Box 18">
              <controlPr defaultSize="0" autoFill="0" autoLine="0" autoPict="0">
                <anchor moveWithCells="1">
                  <from>
                    <xdr:col>0</xdr:col>
                    <xdr:colOff>76200</xdr:colOff>
                    <xdr:row>149</xdr:row>
                    <xdr:rowOff>9525</xdr:rowOff>
                  </from>
                  <to>
                    <xdr:col>0</xdr:col>
                    <xdr:colOff>333375</xdr:colOff>
                    <xdr:row>150</xdr:row>
                    <xdr:rowOff>9525</xdr:rowOff>
                  </to>
                </anchor>
              </controlPr>
            </control>
          </mc:Choice>
        </mc:AlternateContent>
        <mc:AlternateContent xmlns:mc="http://schemas.openxmlformats.org/markup-compatibility/2006">
          <mc:Choice Requires="x14">
            <control shapeId="1043" r:id="rId22" name="Check Box 19">
              <controlPr defaultSize="0" autoFill="0" autoLine="0" autoPict="0">
                <anchor moveWithCells="1">
                  <from>
                    <xdr:col>1</xdr:col>
                    <xdr:colOff>342900</xdr:colOff>
                    <xdr:row>156</xdr:row>
                    <xdr:rowOff>0</xdr:rowOff>
                  </from>
                  <to>
                    <xdr:col>1</xdr:col>
                    <xdr:colOff>581025</xdr:colOff>
                    <xdr:row>157</xdr:row>
                    <xdr:rowOff>0</xdr:rowOff>
                  </to>
                </anchor>
              </controlPr>
            </control>
          </mc:Choice>
        </mc:AlternateContent>
        <mc:AlternateContent xmlns:mc="http://schemas.openxmlformats.org/markup-compatibility/2006">
          <mc:Choice Requires="x14">
            <control shapeId="1047" r:id="rId23" name="Check Box 23">
              <controlPr defaultSize="0" autoFill="0" autoLine="0" autoPict="0">
                <anchor moveWithCells="1">
                  <from>
                    <xdr:col>0</xdr:col>
                    <xdr:colOff>28575</xdr:colOff>
                    <xdr:row>177</xdr:row>
                    <xdr:rowOff>142875</xdr:rowOff>
                  </from>
                  <to>
                    <xdr:col>1</xdr:col>
                    <xdr:colOff>0</xdr:colOff>
                    <xdr:row>179</xdr:row>
                    <xdr:rowOff>0</xdr:rowOff>
                  </to>
                </anchor>
              </controlPr>
            </control>
          </mc:Choice>
        </mc:AlternateContent>
        <mc:AlternateContent xmlns:mc="http://schemas.openxmlformats.org/markup-compatibility/2006">
          <mc:Choice Requires="x14">
            <control shapeId="1048" r:id="rId24" name="Check Box 24">
              <controlPr defaultSize="0" autoFill="0" autoLine="0" autoPict="0">
                <anchor moveWithCells="1">
                  <from>
                    <xdr:col>0</xdr:col>
                    <xdr:colOff>28575</xdr:colOff>
                    <xdr:row>179</xdr:row>
                    <xdr:rowOff>0</xdr:rowOff>
                  </from>
                  <to>
                    <xdr:col>1</xdr:col>
                    <xdr:colOff>0</xdr:colOff>
                    <xdr:row>180</xdr:row>
                    <xdr:rowOff>9525</xdr:rowOff>
                  </to>
                </anchor>
              </controlPr>
            </control>
          </mc:Choice>
        </mc:AlternateContent>
        <mc:AlternateContent xmlns:mc="http://schemas.openxmlformats.org/markup-compatibility/2006">
          <mc:Choice Requires="x14">
            <control shapeId="1050" r:id="rId25" name="Check Box 26">
              <controlPr defaultSize="0" autoFill="0" autoLine="0" autoPict="0">
                <anchor moveWithCells="1">
                  <from>
                    <xdr:col>0</xdr:col>
                    <xdr:colOff>28575</xdr:colOff>
                    <xdr:row>180</xdr:row>
                    <xdr:rowOff>9525</xdr:rowOff>
                  </from>
                  <to>
                    <xdr:col>1</xdr:col>
                    <xdr:colOff>0</xdr:colOff>
                    <xdr:row>181</xdr:row>
                    <xdr:rowOff>0</xdr:rowOff>
                  </to>
                </anchor>
              </controlPr>
            </control>
          </mc:Choice>
        </mc:AlternateContent>
        <mc:AlternateContent xmlns:mc="http://schemas.openxmlformats.org/markup-compatibility/2006">
          <mc:Choice Requires="x14">
            <control shapeId="1051" r:id="rId26" name="Check Box 27">
              <controlPr defaultSize="0" autoFill="0" autoLine="0" autoPict="0">
                <anchor moveWithCells="1">
                  <from>
                    <xdr:col>0</xdr:col>
                    <xdr:colOff>28575</xdr:colOff>
                    <xdr:row>180</xdr:row>
                    <xdr:rowOff>219075</xdr:rowOff>
                  </from>
                  <to>
                    <xdr:col>0</xdr:col>
                    <xdr:colOff>342900</xdr:colOff>
                    <xdr:row>182</xdr:row>
                    <xdr:rowOff>0</xdr:rowOff>
                  </to>
                </anchor>
              </controlPr>
            </control>
          </mc:Choice>
        </mc:AlternateContent>
        <mc:AlternateContent xmlns:mc="http://schemas.openxmlformats.org/markup-compatibility/2006">
          <mc:Choice Requires="x14">
            <control shapeId="1052" r:id="rId27" name="Check Box 28">
              <controlPr defaultSize="0" autoFill="0" autoLine="0" autoPict="0">
                <anchor moveWithCells="1">
                  <from>
                    <xdr:col>0</xdr:col>
                    <xdr:colOff>38100</xdr:colOff>
                    <xdr:row>182</xdr:row>
                    <xdr:rowOff>0</xdr:rowOff>
                  </from>
                  <to>
                    <xdr:col>1</xdr:col>
                    <xdr:colOff>9525</xdr:colOff>
                    <xdr:row>183</xdr:row>
                    <xdr:rowOff>0</xdr:rowOff>
                  </to>
                </anchor>
              </controlPr>
            </control>
          </mc:Choice>
        </mc:AlternateContent>
        <mc:AlternateContent xmlns:mc="http://schemas.openxmlformats.org/markup-compatibility/2006">
          <mc:Choice Requires="x14">
            <control shapeId="1053" r:id="rId28" name="Check Box 29">
              <controlPr defaultSize="0" autoFill="0" autoLine="0" autoPict="0">
                <anchor moveWithCells="1">
                  <from>
                    <xdr:col>0</xdr:col>
                    <xdr:colOff>38100</xdr:colOff>
                    <xdr:row>183</xdr:row>
                    <xdr:rowOff>9525</xdr:rowOff>
                  </from>
                  <to>
                    <xdr:col>0</xdr:col>
                    <xdr:colOff>342900</xdr:colOff>
                    <xdr:row>184</xdr:row>
                    <xdr:rowOff>0</xdr:rowOff>
                  </to>
                </anchor>
              </controlPr>
            </control>
          </mc:Choice>
        </mc:AlternateContent>
        <mc:AlternateContent xmlns:mc="http://schemas.openxmlformats.org/markup-compatibility/2006">
          <mc:Choice Requires="x14">
            <control shapeId="1054" r:id="rId29" name="Check Box 30">
              <controlPr defaultSize="0" autoFill="0" autoLine="0" autoPict="0">
                <anchor moveWithCells="1">
                  <from>
                    <xdr:col>0</xdr:col>
                    <xdr:colOff>38100</xdr:colOff>
                    <xdr:row>184</xdr:row>
                    <xdr:rowOff>9525</xdr:rowOff>
                  </from>
                  <to>
                    <xdr:col>1</xdr:col>
                    <xdr:colOff>0</xdr:colOff>
                    <xdr:row>185</xdr:row>
                    <xdr:rowOff>0</xdr:rowOff>
                  </to>
                </anchor>
              </controlPr>
            </control>
          </mc:Choice>
        </mc:AlternateContent>
        <mc:AlternateContent xmlns:mc="http://schemas.openxmlformats.org/markup-compatibility/2006">
          <mc:Choice Requires="x14">
            <control shapeId="1055" r:id="rId30" name="Check Box 31">
              <controlPr defaultSize="0" autoFill="0" autoLine="0" autoPict="0">
                <anchor moveWithCells="1">
                  <from>
                    <xdr:col>0</xdr:col>
                    <xdr:colOff>38100</xdr:colOff>
                    <xdr:row>185</xdr:row>
                    <xdr:rowOff>9525</xdr:rowOff>
                  </from>
                  <to>
                    <xdr:col>1</xdr:col>
                    <xdr:colOff>0</xdr:colOff>
                    <xdr:row>186</xdr:row>
                    <xdr:rowOff>0</xdr:rowOff>
                  </to>
                </anchor>
              </controlPr>
            </control>
          </mc:Choice>
        </mc:AlternateContent>
        <mc:AlternateContent xmlns:mc="http://schemas.openxmlformats.org/markup-compatibility/2006">
          <mc:Choice Requires="x14">
            <control shapeId="1057" r:id="rId31" name="Check Box 33">
              <controlPr defaultSize="0" autoFill="0" autoLine="0" autoPict="0">
                <anchor moveWithCells="1">
                  <from>
                    <xdr:col>0</xdr:col>
                    <xdr:colOff>9525</xdr:colOff>
                    <xdr:row>189</xdr:row>
                    <xdr:rowOff>142875</xdr:rowOff>
                  </from>
                  <to>
                    <xdr:col>1</xdr:col>
                    <xdr:colOff>0</xdr:colOff>
                    <xdr:row>191</xdr:row>
                    <xdr:rowOff>9525</xdr:rowOff>
                  </to>
                </anchor>
              </controlPr>
            </control>
          </mc:Choice>
        </mc:AlternateContent>
        <mc:AlternateContent xmlns:mc="http://schemas.openxmlformats.org/markup-compatibility/2006">
          <mc:Choice Requires="x14">
            <control shapeId="1058" r:id="rId32" name="Check Box 34">
              <controlPr defaultSize="0" autoFill="0" autoLine="0" autoPict="0">
                <anchor moveWithCells="1">
                  <from>
                    <xdr:col>0</xdr:col>
                    <xdr:colOff>9525</xdr:colOff>
                    <xdr:row>190</xdr:row>
                    <xdr:rowOff>200025</xdr:rowOff>
                  </from>
                  <to>
                    <xdr:col>1</xdr:col>
                    <xdr:colOff>0</xdr:colOff>
                    <xdr:row>192</xdr:row>
                    <xdr:rowOff>0</xdr:rowOff>
                  </to>
                </anchor>
              </controlPr>
            </control>
          </mc:Choice>
        </mc:AlternateContent>
        <mc:AlternateContent xmlns:mc="http://schemas.openxmlformats.org/markup-compatibility/2006">
          <mc:Choice Requires="x14">
            <control shapeId="1059" r:id="rId33" name="Check Box 35">
              <controlPr defaultSize="0" autoFill="0" autoLine="0" autoPict="0">
                <anchor moveWithCells="1">
                  <from>
                    <xdr:col>0</xdr:col>
                    <xdr:colOff>9525</xdr:colOff>
                    <xdr:row>192</xdr:row>
                    <xdr:rowOff>9525</xdr:rowOff>
                  </from>
                  <to>
                    <xdr:col>1</xdr:col>
                    <xdr:colOff>9525</xdr:colOff>
                    <xdr:row>193</xdr:row>
                    <xdr:rowOff>9525</xdr:rowOff>
                  </to>
                </anchor>
              </controlPr>
            </control>
          </mc:Choice>
        </mc:AlternateContent>
        <mc:AlternateContent xmlns:mc="http://schemas.openxmlformats.org/markup-compatibility/2006">
          <mc:Choice Requires="x14">
            <control shapeId="1060" r:id="rId34" name="Check Box 36">
              <controlPr defaultSize="0" autoFill="0" autoLine="0" autoPict="0">
                <anchor moveWithCells="1">
                  <from>
                    <xdr:col>0</xdr:col>
                    <xdr:colOff>9525</xdr:colOff>
                    <xdr:row>193</xdr:row>
                    <xdr:rowOff>0</xdr:rowOff>
                  </from>
                  <to>
                    <xdr:col>1</xdr:col>
                    <xdr:colOff>9525</xdr:colOff>
                    <xdr:row>194</xdr:row>
                    <xdr:rowOff>0</xdr:rowOff>
                  </to>
                </anchor>
              </controlPr>
            </control>
          </mc:Choice>
        </mc:AlternateContent>
        <mc:AlternateContent xmlns:mc="http://schemas.openxmlformats.org/markup-compatibility/2006">
          <mc:Choice Requires="x14">
            <control shapeId="1061" r:id="rId35" name="Check Box 37">
              <controlPr defaultSize="0" autoFill="0" autoLine="0" autoPict="0">
                <anchor moveWithCells="1">
                  <from>
                    <xdr:col>0</xdr:col>
                    <xdr:colOff>9525</xdr:colOff>
                    <xdr:row>194</xdr:row>
                    <xdr:rowOff>0</xdr:rowOff>
                  </from>
                  <to>
                    <xdr:col>1</xdr:col>
                    <xdr:colOff>0</xdr:colOff>
                    <xdr:row>195</xdr:row>
                    <xdr:rowOff>0</xdr:rowOff>
                  </to>
                </anchor>
              </controlPr>
            </control>
          </mc:Choice>
        </mc:AlternateContent>
        <mc:AlternateContent xmlns:mc="http://schemas.openxmlformats.org/markup-compatibility/2006">
          <mc:Choice Requires="x14">
            <control shapeId="1062" r:id="rId36" name="Check Box 38">
              <controlPr defaultSize="0" autoFill="0" autoLine="0" autoPict="0">
                <anchor moveWithCells="1">
                  <from>
                    <xdr:col>0</xdr:col>
                    <xdr:colOff>9525</xdr:colOff>
                    <xdr:row>194</xdr:row>
                    <xdr:rowOff>219075</xdr:rowOff>
                  </from>
                  <to>
                    <xdr:col>0</xdr:col>
                    <xdr:colOff>342900</xdr:colOff>
                    <xdr:row>196</xdr:row>
                    <xdr:rowOff>9525</xdr:rowOff>
                  </to>
                </anchor>
              </controlPr>
            </control>
          </mc:Choice>
        </mc:AlternateContent>
        <mc:AlternateContent xmlns:mc="http://schemas.openxmlformats.org/markup-compatibility/2006">
          <mc:Choice Requires="x14">
            <control shapeId="1063" r:id="rId37" name="Check Box 39">
              <controlPr defaultSize="0" autoFill="0" autoLine="0" autoPict="0">
                <anchor moveWithCells="1">
                  <from>
                    <xdr:col>0</xdr:col>
                    <xdr:colOff>9525</xdr:colOff>
                    <xdr:row>195</xdr:row>
                    <xdr:rowOff>219075</xdr:rowOff>
                  </from>
                  <to>
                    <xdr:col>1</xdr:col>
                    <xdr:colOff>0</xdr:colOff>
                    <xdr:row>197</xdr:row>
                    <xdr:rowOff>9525</xdr:rowOff>
                  </to>
                </anchor>
              </controlPr>
            </control>
          </mc:Choice>
        </mc:AlternateContent>
        <mc:AlternateContent xmlns:mc="http://schemas.openxmlformats.org/markup-compatibility/2006">
          <mc:Choice Requires="x14">
            <control shapeId="1064" r:id="rId38" name="Check Box 40">
              <controlPr defaultSize="0" autoFill="0" autoLine="0" autoPict="0">
                <anchor moveWithCells="1">
                  <from>
                    <xdr:col>0</xdr:col>
                    <xdr:colOff>9525</xdr:colOff>
                    <xdr:row>196</xdr:row>
                    <xdr:rowOff>219075</xdr:rowOff>
                  </from>
                  <to>
                    <xdr:col>1</xdr:col>
                    <xdr:colOff>0</xdr:colOff>
                    <xdr:row>198</xdr:row>
                    <xdr:rowOff>0</xdr:rowOff>
                  </to>
                </anchor>
              </controlPr>
            </control>
          </mc:Choice>
        </mc:AlternateContent>
        <mc:AlternateContent xmlns:mc="http://schemas.openxmlformats.org/markup-compatibility/2006">
          <mc:Choice Requires="x14">
            <control shapeId="1066" r:id="rId39" name="Check Box 42">
              <controlPr defaultSize="0" autoFill="0" autoLine="0" autoPict="0">
                <anchor moveWithCells="1">
                  <from>
                    <xdr:col>3</xdr:col>
                    <xdr:colOff>466725</xdr:colOff>
                    <xdr:row>202</xdr:row>
                    <xdr:rowOff>9525</xdr:rowOff>
                  </from>
                  <to>
                    <xdr:col>3</xdr:col>
                    <xdr:colOff>1028700</xdr:colOff>
                    <xdr:row>202</xdr:row>
                    <xdr:rowOff>190500</xdr:rowOff>
                  </to>
                </anchor>
              </controlPr>
            </control>
          </mc:Choice>
        </mc:AlternateContent>
        <mc:AlternateContent xmlns:mc="http://schemas.openxmlformats.org/markup-compatibility/2006">
          <mc:Choice Requires="x14">
            <control shapeId="1067" r:id="rId40" name="Check Box 43">
              <controlPr defaultSize="0" autoFill="0" autoLine="0" autoPict="0">
                <anchor moveWithCells="1">
                  <from>
                    <xdr:col>3</xdr:col>
                    <xdr:colOff>466725</xdr:colOff>
                    <xdr:row>203</xdr:row>
                    <xdr:rowOff>9525</xdr:rowOff>
                  </from>
                  <to>
                    <xdr:col>3</xdr:col>
                    <xdr:colOff>1076325</xdr:colOff>
                    <xdr:row>204</xdr:row>
                    <xdr:rowOff>0</xdr:rowOff>
                  </to>
                </anchor>
              </controlPr>
            </control>
          </mc:Choice>
        </mc:AlternateContent>
        <mc:AlternateContent xmlns:mc="http://schemas.openxmlformats.org/markup-compatibility/2006">
          <mc:Choice Requires="x14">
            <control shapeId="1068" r:id="rId41" name="Check Box 44">
              <controlPr defaultSize="0" autoFill="0" autoLine="0" autoPict="0">
                <anchor moveWithCells="1">
                  <from>
                    <xdr:col>3</xdr:col>
                    <xdr:colOff>466725</xdr:colOff>
                    <xdr:row>204</xdr:row>
                    <xdr:rowOff>9525</xdr:rowOff>
                  </from>
                  <to>
                    <xdr:col>3</xdr:col>
                    <xdr:colOff>1114425</xdr:colOff>
                    <xdr:row>204</xdr:row>
                    <xdr:rowOff>190500</xdr:rowOff>
                  </to>
                </anchor>
              </controlPr>
            </control>
          </mc:Choice>
        </mc:AlternateContent>
        <mc:AlternateContent xmlns:mc="http://schemas.openxmlformats.org/markup-compatibility/2006">
          <mc:Choice Requires="x14">
            <control shapeId="1069" r:id="rId42" name="Check Box 45">
              <controlPr defaultSize="0" autoFill="0" autoLine="0" autoPict="0">
                <anchor moveWithCells="1">
                  <from>
                    <xdr:col>3</xdr:col>
                    <xdr:colOff>466725</xdr:colOff>
                    <xdr:row>205</xdr:row>
                    <xdr:rowOff>9525</xdr:rowOff>
                  </from>
                  <to>
                    <xdr:col>3</xdr:col>
                    <xdr:colOff>1095375</xdr:colOff>
                    <xdr:row>205</xdr:row>
                    <xdr:rowOff>180975</xdr:rowOff>
                  </to>
                </anchor>
              </controlPr>
            </control>
          </mc:Choice>
        </mc:AlternateContent>
        <mc:AlternateContent xmlns:mc="http://schemas.openxmlformats.org/markup-compatibility/2006">
          <mc:Choice Requires="x14">
            <control shapeId="1070" r:id="rId43" name="Check Box 46">
              <controlPr defaultSize="0" autoFill="0" autoLine="0" autoPict="0">
                <anchor moveWithCells="1">
                  <from>
                    <xdr:col>3</xdr:col>
                    <xdr:colOff>466725</xdr:colOff>
                    <xdr:row>206</xdr:row>
                    <xdr:rowOff>9525</xdr:rowOff>
                  </from>
                  <to>
                    <xdr:col>3</xdr:col>
                    <xdr:colOff>1057275</xdr:colOff>
                    <xdr:row>206</xdr:row>
                    <xdr:rowOff>180975</xdr:rowOff>
                  </to>
                </anchor>
              </controlPr>
            </control>
          </mc:Choice>
        </mc:AlternateContent>
        <mc:AlternateContent xmlns:mc="http://schemas.openxmlformats.org/markup-compatibility/2006">
          <mc:Choice Requires="x14">
            <control shapeId="1071" r:id="rId44" name="Check Box 47">
              <controlPr defaultSize="0" autoFill="0" autoLine="0" autoPict="0">
                <anchor moveWithCells="1">
                  <from>
                    <xdr:col>3</xdr:col>
                    <xdr:colOff>466725</xdr:colOff>
                    <xdr:row>207</xdr:row>
                    <xdr:rowOff>0</xdr:rowOff>
                  </from>
                  <to>
                    <xdr:col>3</xdr:col>
                    <xdr:colOff>1095375</xdr:colOff>
                    <xdr:row>208</xdr:row>
                    <xdr:rowOff>9525</xdr:rowOff>
                  </to>
                </anchor>
              </controlPr>
            </control>
          </mc:Choice>
        </mc:AlternateContent>
        <mc:AlternateContent xmlns:mc="http://schemas.openxmlformats.org/markup-compatibility/2006">
          <mc:Choice Requires="x14">
            <control shapeId="1072" r:id="rId45" name="Check Box 48">
              <controlPr defaultSize="0" autoFill="0" autoLine="0" autoPict="0">
                <anchor moveWithCells="1">
                  <from>
                    <xdr:col>3</xdr:col>
                    <xdr:colOff>466725</xdr:colOff>
                    <xdr:row>208</xdr:row>
                    <xdr:rowOff>9525</xdr:rowOff>
                  </from>
                  <to>
                    <xdr:col>3</xdr:col>
                    <xdr:colOff>1114425</xdr:colOff>
                    <xdr:row>208</xdr:row>
                    <xdr:rowOff>190500</xdr:rowOff>
                  </to>
                </anchor>
              </controlPr>
            </control>
          </mc:Choice>
        </mc:AlternateContent>
        <mc:AlternateContent xmlns:mc="http://schemas.openxmlformats.org/markup-compatibility/2006">
          <mc:Choice Requires="x14">
            <control shapeId="1073" r:id="rId46" name="Check Box 49">
              <controlPr defaultSize="0" autoFill="0" autoLine="0" autoPict="0">
                <anchor moveWithCells="1">
                  <from>
                    <xdr:col>3</xdr:col>
                    <xdr:colOff>466725</xdr:colOff>
                    <xdr:row>209</xdr:row>
                    <xdr:rowOff>9525</xdr:rowOff>
                  </from>
                  <to>
                    <xdr:col>3</xdr:col>
                    <xdr:colOff>1095375</xdr:colOff>
                    <xdr:row>209</xdr:row>
                    <xdr:rowOff>180975</xdr:rowOff>
                  </to>
                </anchor>
              </controlPr>
            </control>
          </mc:Choice>
        </mc:AlternateContent>
        <mc:AlternateContent xmlns:mc="http://schemas.openxmlformats.org/markup-compatibility/2006">
          <mc:Choice Requires="x14">
            <control shapeId="1074" r:id="rId47" name="Check Box 50">
              <controlPr defaultSize="0" autoFill="0" autoLine="0" autoPict="0">
                <anchor moveWithCells="1">
                  <from>
                    <xdr:col>3</xdr:col>
                    <xdr:colOff>466725</xdr:colOff>
                    <xdr:row>210</xdr:row>
                    <xdr:rowOff>9525</xdr:rowOff>
                  </from>
                  <to>
                    <xdr:col>3</xdr:col>
                    <xdr:colOff>1076325</xdr:colOff>
                    <xdr:row>211</xdr:row>
                    <xdr:rowOff>0</xdr:rowOff>
                  </to>
                </anchor>
              </controlPr>
            </control>
          </mc:Choice>
        </mc:AlternateContent>
        <mc:AlternateContent xmlns:mc="http://schemas.openxmlformats.org/markup-compatibility/2006">
          <mc:Choice Requires="x14">
            <control shapeId="1075" r:id="rId48" name="Check Box 51">
              <controlPr defaultSize="0" autoFill="0" autoLine="0" autoPict="0">
                <anchor moveWithCells="1">
                  <from>
                    <xdr:col>3</xdr:col>
                    <xdr:colOff>466725</xdr:colOff>
                    <xdr:row>211</xdr:row>
                    <xdr:rowOff>9525</xdr:rowOff>
                  </from>
                  <to>
                    <xdr:col>3</xdr:col>
                    <xdr:colOff>1104900</xdr:colOff>
                    <xdr:row>211</xdr:row>
                    <xdr:rowOff>180975</xdr:rowOff>
                  </to>
                </anchor>
              </controlPr>
            </control>
          </mc:Choice>
        </mc:AlternateContent>
        <mc:AlternateContent xmlns:mc="http://schemas.openxmlformats.org/markup-compatibility/2006">
          <mc:Choice Requires="x14">
            <control shapeId="1076" r:id="rId49" name="Check Box 52">
              <controlPr defaultSize="0" autoFill="0" autoLine="0" autoPict="0">
                <anchor moveWithCells="1">
                  <from>
                    <xdr:col>3</xdr:col>
                    <xdr:colOff>466725</xdr:colOff>
                    <xdr:row>212</xdr:row>
                    <xdr:rowOff>9525</xdr:rowOff>
                  </from>
                  <to>
                    <xdr:col>3</xdr:col>
                    <xdr:colOff>1114425</xdr:colOff>
                    <xdr:row>212</xdr:row>
                    <xdr:rowOff>180975</xdr:rowOff>
                  </to>
                </anchor>
              </controlPr>
            </control>
          </mc:Choice>
        </mc:AlternateContent>
        <mc:AlternateContent xmlns:mc="http://schemas.openxmlformats.org/markup-compatibility/2006">
          <mc:Choice Requires="x14">
            <control shapeId="1077" r:id="rId50" name="Check Box 53">
              <controlPr defaultSize="0" autoFill="0" autoLine="0" autoPict="0">
                <anchor moveWithCells="1">
                  <from>
                    <xdr:col>4</xdr:col>
                    <xdr:colOff>466725</xdr:colOff>
                    <xdr:row>202</xdr:row>
                    <xdr:rowOff>9525</xdr:rowOff>
                  </from>
                  <to>
                    <xdr:col>5</xdr:col>
                    <xdr:colOff>9525</xdr:colOff>
                    <xdr:row>202</xdr:row>
                    <xdr:rowOff>190500</xdr:rowOff>
                  </to>
                </anchor>
              </controlPr>
            </control>
          </mc:Choice>
        </mc:AlternateContent>
        <mc:AlternateContent xmlns:mc="http://schemas.openxmlformats.org/markup-compatibility/2006">
          <mc:Choice Requires="x14">
            <control shapeId="1078" r:id="rId51" name="Check Box 54">
              <controlPr defaultSize="0" autoFill="0" autoLine="0" autoPict="0">
                <anchor moveWithCells="1">
                  <from>
                    <xdr:col>4</xdr:col>
                    <xdr:colOff>466725</xdr:colOff>
                    <xdr:row>203</xdr:row>
                    <xdr:rowOff>9525</xdr:rowOff>
                  </from>
                  <to>
                    <xdr:col>5</xdr:col>
                    <xdr:colOff>0</xdr:colOff>
                    <xdr:row>203</xdr:row>
                    <xdr:rowOff>180975</xdr:rowOff>
                  </to>
                </anchor>
              </controlPr>
            </control>
          </mc:Choice>
        </mc:AlternateContent>
        <mc:AlternateContent xmlns:mc="http://schemas.openxmlformats.org/markup-compatibility/2006">
          <mc:Choice Requires="x14">
            <control shapeId="1079" r:id="rId52" name="Check Box 55">
              <controlPr defaultSize="0" autoFill="0" autoLine="0" autoPict="0">
                <anchor moveWithCells="1">
                  <from>
                    <xdr:col>4</xdr:col>
                    <xdr:colOff>466725</xdr:colOff>
                    <xdr:row>204</xdr:row>
                    <xdr:rowOff>0</xdr:rowOff>
                  </from>
                  <to>
                    <xdr:col>4</xdr:col>
                    <xdr:colOff>1104900</xdr:colOff>
                    <xdr:row>204</xdr:row>
                    <xdr:rowOff>190500</xdr:rowOff>
                  </to>
                </anchor>
              </controlPr>
            </control>
          </mc:Choice>
        </mc:AlternateContent>
        <mc:AlternateContent xmlns:mc="http://schemas.openxmlformats.org/markup-compatibility/2006">
          <mc:Choice Requires="x14">
            <control shapeId="1080" r:id="rId53" name="Check Box 56">
              <controlPr defaultSize="0" autoFill="0" autoLine="0" autoPict="0">
                <anchor moveWithCells="1">
                  <from>
                    <xdr:col>4</xdr:col>
                    <xdr:colOff>466725</xdr:colOff>
                    <xdr:row>205</xdr:row>
                    <xdr:rowOff>9525</xdr:rowOff>
                  </from>
                  <to>
                    <xdr:col>5</xdr:col>
                    <xdr:colOff>0</xdr:colOff>
                    <xdr:row>206</xdr:row>
                    <xdr:rowOff>0</xdr:rowOff>
                  </to>
                </anchor>
              </controlPr>
            </control>
          </mc:Choice>
        </mc:AlternateContent>
        <mc:AlternateContent xmlns:mc="http://schemas.openxmlformats.org/markup-compatibility/2006">
          <mc:Choice Requires="x14">
            <control shapeId="1081" r:id="rId54" name="Check Box 57">
              <controlPr defaultSize="0" autoFill="0" autoLine="0" autoPict="0">
                <anchor moveWithCells="1">
                  <from>
                    <xdr:col>4</xdr:col>
                    <xdr:colOff>466725</xdr:colOff>
                    <xdr:row>206</xdr:row>
                    <xdr:rowOff>9525</xdr:rowOff>
                  </from>
                  <to>
                    <xdr:col>4</xdr:col>
                    <xdr:colOff>1095375</xdr:colOff>
                    <xdr:row>206</xdr:row>
                    <xdr:rowOff>190500</xdr:rowOff>
                  </to>
                </anchor>
              </controlPr>
            </control>
          </mc:Choice>
        </mc:AlternateContent>
        <mc:AlternateContent xmlns:mc="http://schemas.openxmlformats.org/markup-compatibility/2006">
          <mc:Choice Requires="x14">
            <control shapeId="1082" r:id="rId55" name="Check Box 58">
              <controlPr defaultSize="0" autoFill="0" autoLine="0" autoPict="0">
                <anchor moveWithCells="1">
                  <from>
                    <xdr:col>4</xdr:col>
                    <xdr:colOff>466725</xdr:colOff>
                    <xdr:row>208</xdr:row>
                    <xdr:rowOff>9525</xdr:rowOff>
                  </from>
                  <to>
                    <xdr:col>4</xdr:col>
                    <xdr:colOff>1104900</xdr:colOff>
                    <xdr:row>208</xdr:row>
                    <xdr:rowOff>190500</xdr:rowOff>
                  </to>
                </anchor>
              </controlPr>
            </control>
          </mc:Choice>
        </mc:AlternateContent>
        <mc:AlternateContent xmlns:mc="http://schemas.openxmlformats.org/markup-compatibility/2006">
          <mc:Choice Requires="x14">
            <control shapeId="1083" r:id="rId56" name="Check Box 59">
              <controlPr defaultSize="0" autoFill="0" autoLine="0" autoPict="0">
                <anchor moveWithCells="1">
                  <from>
                    <xdr:col>4</xdr:col>
                    <xdr:colOff>466725</xdr:colOff>
                    <xdr:row>209</xdr:row>
                    <xdr:rowOff>9525</xdr:rowOff>
                  </from>
                  <to>
                    <xdr:col>4</xdr:col>
                    <xdr:colOff>1114425</xdr:colOff>
                    <xdr:row>209</xdr:row>
                    <xdr:rowOff>180975</xdr:rowOff>
                  </to>
                </anchor>
              </controlPr>
            </control>
          </mc:Choice>
        </mc:AlternateContent>
        <mc:AlternateContent xmlns:mc="http://schemas.openxmlformats.org/markup-compatibility/2006">
          <mc:Choice Requires="x14">
            <control shapeId="1084" r:id="rId57" name="Check Box 60">
              <controlPr defaultSize="0" autoFill="0" autoLine="0" autoPict="0">
                <anchor moveWithCells="1">
                  <from>
                    <xdr:col>4</xdr:col>
                    <xdr:colOff>466725</xdr:colOff>
                    <xdr:row>210</xdr:row>
                    <xdr:rowOff>9525</xdr:rowOff>
                  </from>
                  <to>
                    <xdr:col>4</xdr:col>
                    <xdr:colOff>1095375</xdr:colOff>
                    <xdr:row>210</xdr:row>
                    <xdr:rowOff>190500</xdr:rowOff>
                  </to>
                </anchor>
              </controlPr>
            </control>
          </mc:Choice>
        </mc:AlternateContent>
        <mc:AlternateContent xmlns:mc="http://schemas.openxmlformats.org/markup-compatibility/2006">
          <mc:Choice Requires="x14">
            <control shapeId="1085" r:id="rId58" name="Check Box 61">
              <controlPr defaultSize="0" autoFill="0" autoLine="0" autoPict="0">
                <anchor moveWithCells="1">
                  <from>
                    <xdr:col>4</xdr:col>
                    <xdr:colOff>466725</xdr:colOff>
                    <xdr:row>211</xdr:row>
                    <xdr:rowOff>9525</xdr:rowOff>
                  </from>
                  <to>
                    <xdr:col>4</xdr:col>
                    <xdr:colOff>1114425</xdr:colOff>
                    <xdr:row>211</xdr:row>
                    <xdr:rowOff>190500</xdr:rowOff>
                  </to>
                </anchor>
              </controlPr>
            </control>
          </mc:Choice>
        </mc:AlternateContent>
        <mc:AlternateContent xmlns:mc="http://schemas.openxmlformats.org/markup-compatibility/2006">
          <mc:Choice Requires="x14">
            <control shapeId="1086" r:id="rId59" name="Check Box 62">
              <controlPr defaultSize="0" autoFill="0" autoLine="0" autoPict="0">
                <anchor moveWithCells="1">
                  <from>
                    <xdr:col>4</xdr:col>
                    <xdr:colOff>466725</xdr:colOff>
                    <xdr:row>212</xdr:row>
                    <xdr:rowOff>9525</xdr:rowOff>
                  </from>
                  <to>
                    <xdr:col>4</xdr:col>
                    <xdr:colOff>1104900</xdr:colOff>
                    <xdr:row>212</xdr:row>
                    <xdr:rowOff>180975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61"/>
  <sheetViews>
    <sheetView showGridLines="0" showRowColHeaders="0" showRuler="0" topLeftCell="A19" zoomScale="110" zoomScaleNormal="110" zoomScalePageLayoutView="115" workbookViewId="0">
      <selection activeCell="I21" sqref="I21"/>
    </sheetView>
  </sheetViews>
  <sheetFormatPr defaultColWidth="0" defaultRowHeight="0" customHeight="1" zeroHeight="1" x14ac:dyDescent="0.2"/>
  <cols>
    <col min="1" max="2" width="3.625" style="1" customWidth="1"/>
    <col min="3" max="3" width="10.625" style="1" customWidth="1"/>
    <col min="4" max="11" width="8.875" style="1" customWidth="1"/>
    <col min="12" max="12" width="9.125" style="1" customWidth="1"/>
    <col min="13" max="16384" width="0" style="1" hidden="1"/>
  </cols>
  <sheetData>
    <row r="1" spans="1:17" ht="18" x14ac:dyDescent="0.2">
      <c r="A1" s="559" t="s">
        <v>260</v>
      </c>
      <c r="B1" s="559"/>
      <c r="C1" s="559"/>
      <c r="D1" s="559"/>
      <c r="E1" s="559"/>
      <c r="F1" s="559"/>
      <c r="G1" s="559"/>
      <c r="H1" s="559"/>
      <c r="I1" s="559"/>
      <c r="J1" s="559"/>
      <c r="K1" s="559"/>
    </row>
    <row r="2" spans="1:17" ht="12.75" x14ac:dyDescent="0.2"/>
    <row r="3" spans="1:17" ht="42" customHeight="1" x14ac:dyDescent="0.2">
      <c r="A3" s="66" t="s">
        <v>241</v>
      </c>
      <c r="B3" s="837" t="s">
        <v>1959</v>
      </c>
      <c r="C3" s="741"/>
      <c r="D3" s="741"/>
      <c r="E3" s="741"/>
      <c r="F3" s="741"/>
      <c r="G3" s="741"/>
      <c r="H3" s="741"/>
      <c r="I3" s="741"/>
      <c r="J3" s="741"/>
      <c r="K3" s="741"/>
    </row>
    <row r="4" spans="1:17" ht="66" customHeight="1" x14ac:dyDescent="0.2">
      <c r="B4" s="838" t="s">
        <v>259</v>
      </c>
      <c r="C4" s="839"/>
      <c r="D4" s="839"/>
      <c r="E4" s="839"/>
      <c r="F4" s="839"/>
      <c r="G4" s="839"/>
      <c r="H4" s="839"/>
      <c r="I4" s="839"/>
      <c r="J4" s="839"/>
      <c r="K4" s="840"/>
    </row>
    <row r="5" spans="1:17" s="80" customFormat="1" ht="12.75" x14ac:dyDescent="0.25">
      <c r="B5" s="81"/>
      <c r="C5" s="84"/>
      <c r="D5" s="83"/>
      <c r="E5" s="83"/>
      <c r="F5" s="83"/>
      <c r="G5" s="83"/>
      <c r="H5" s="83"/>
      <c r="I5" s="82"/>
      <c r="J5" s="81" t="s">
        <v>258</v>
      </c>
      <c r="K5" s="81" t="s">
        <v>257</v>
      </c>
    </row>
    <row r="6" spans="1:17" s="57" customFormat="1" ht="65.099999999999994" customHeight="1" x14ac:dyDescent="0.25">
      <c r="B6" s="79" t="s">
        <v>63</v>
      </c>
      <c r="C6" s="841" t="s">
        <v>256</v>
      </c>
      <c r="D6" s="841"/>
      <c r="E6" s="841"/>
      <c r="F6" s="841"/>
      <c r="G6" s="841"/>
      <c r="H6" s="841"/>
      <c r="I6" s="841"/>
      <c r="J6" s="78" t="s">
        <v>104</v>
      </c>
      <c r="K6" s="78" t="s">
        <v>255</v>
      </c>
    </row>
    <row r="7" spans="1:17" s="57" customFormat="1" ht="57" customHeight="1" x14ac:dyDescent="0.25">
      <c r="B7" s="79" t="s">
        <v>64</v>
      </c>
      <c r="C7" s="841" t="s">
        <v>254</v>
      </c>
      <c r="D7" s="841"/>
      <c r="E7" s="841"/>
      <c r="F7" s="841"/>
      <c r="G7" s="841"/>
      <c r="H7" s="841"/>
      <c r="I7" s="841"/>
      <c r="J7" s="78" t="s">
        <v>104</v>
      </c>
      <c r="K7" s="78" t="s">
        <v>253</v>
      </c>
    </row>
    <row r="8" spans="1:17" s="57" customFormat="1" ht="24.75" customHeight="1" x14ac:dyDescent="0.25">
      <c r="B8" s="79" t="s">
        <v>66</v>
      </c>
      <c r="C8" s="834" t="s">
        <v>252</v>
      </c>
      <c r="D8" s="834"/>
      <c r="E8" s="834"/>
      <c r="F8" s="834"/>
      <c r="G8" s="834"/>
      <c r="H8" s="834"/>
      <c r="I8" s="834"/>
      <c r="J8" s="78" t="s">
        <v>104</v>
      </c>
      <c r="K8" s="78" t="s">
        <v>247</v>
      </c>
    </row>
    <row r="9" spans="1:17" s="57" customFormat="1" ht="25.5" customHeight="1" x14ac:dyDescent="0.25">
      <c r="B9" s="79" t="s">
        <v>68</v>
      </c>
      <c r="C9" s="834" t="s">
        <v>251</v>
      </c>
      <c r="D9" s="834"/>
      <c r="E9" s="834"/>
      <c r="F9" s="834"/>
      <c r="G9" s="834"/>
      <c r="H9" s="834"/>
      <c r="I9" s="834"/>
      <c r="J9" s="78" t="s">
        <v>104</v>
      </c>
      <c r="K9" s="78" t="s">
        <v>104</v>
      </c>
    </row>
    <row r="10" spans="1:17" s="57" customFormat="1" ht="12.75" x14ac:dyDescent="0.25">
      <c r="B10" s="79" t="s">
        <v>70</v>
      </c>
      <c r="C10" s="834" t="s">
        <v>250</v>
      </c>
      <c r="D10" s="834"/>
      <c r="E10" s="834"/>
      <c r="F10" s="834"/>
      <c r="G10" s="834"/>
      <c r="H10" s="834"/>
      <c r="I10" s="834"/>
      <c r="J10" s="78" t="s">
        <v>247</v>
      </c>
      <c r="K10" s="78" t="s">
        <v>104</v>
      </c>
    </row>
    <row r="11" spans="1:17" s="57" customFormat="1" ht="12.75" x14ac:dyDescent="0.25">
      <c r="B11" s="79" t="s">
        <v>72</v>
      </c>
      <c r="C11" s="834" t="s">
        <v>249</v>
      </c>
      <c r="D11" s="834"/>
      <c r="E11" s="834"/>
      <c r="F11" s="834"/>
      <c r="G11" s="834"/>
      <c r="H11" s="834"/>
      <c r="I11" s="834"/>
      <c r="J11" s="78" t="s">
        <v>104</v>
      </c>
      <c r="K11" s="78" t="s">
        <v>104</v>
      </c>
    </row>
    <row r="12" spans="1:17" s="57" customFormat="1" ht="12.75" x14ac:dyDescent="0.25">
      <c r="B12" s="79" t="s">
        <v>74</v>
      </c>
      <c r="C12" s="834" t="s">
        <v>248</v>
      </c>
      <c r="D12" s="834"/>
      <c r="E12" s="834"/>
      <c r="F12" s="834"/>
      <c r="G12" s="834"/>
      <c r="H12" s="834"/>
      <c r="I12" s="834"/>
      <c r="J12" s="78" t="s">
        <v>104</v>
      </c>
      <c r="K12" s="78" t="s">
        <v>247</v>
      </c>
    </row>
    <row r="13" spans="1:17" ht="12.75" customHeight="1" x14ac:dyDescent="0.2">
      <c r="B13" s="77"/>
      <c r="C13" s="77"/>
      <c r="D13" s="77"/>
      <c r="E13" s="77"/>
      <c r="F13" s="77"/>
      <c r="G13" s="77"/>
      <c r="H13" s="77"/>
      <c r="I13" s="77"/>
      <c r="J13" s="77"/>
      <c r="K13" s="77"/>
      <c r="Q13" s="76"/>
    </row>
    <row r="14" spans="1:17" ht="31.5" customHeight="1" x14ac:dyDescent="0.2">
      <c r="B14" s="835" t="s">
        <v>246</v>
      </c>
      <c r="C14" s="836"/>
      <c r="D14" s="836"/>
      <c r="E14" s="836"/>
      <c r="F14" s="836"/>
      <c r="G14" s="836"/>
      <c r="H14" s="836"/>
      <c r="I14" s="836"/>
      <c r="J14" s="836"/>
      <c r="K14" s="836"/>
    </row>
    <row r="15" spans="1:17" ht="55.5" customHeight="1" x14ac:dyDescent="0.2">
      <c r="B15" s="835" t="s">
        <v>245</v>
      </c>
      <c r="C15" s="836"/>
      <c r="D15" s="836"/>
      <c r="E15" s="836"/>
      <c r="F15" s="836"/>
      <c r="G15" s="836"/>
      <c r="H15" s="836"/>
      <c r="I15" s="836"/>
      <c r="J15" s="836"/>
      <c r="K15" s="836"/>
    </row>
    <row r="16" spans="1:17" ht="32.25" customHeight="1" x14ac:dyDescent="0.2">
      <c r="B16" s="835" t="s">
        <v>244</v>
      </c>
      <c r="C16" s="835"/>
      <c r="D16" s="835"/>
      <c r="E16" s="835"/>
      <c r="F16" s="835"/>
      <c r="G16" s="835"/>
      <c r="H16" s="835"/>
      <c r="I16" s="835"/>
      <c r="J16" s="835"/>
      <c r="K16" s="835"/>
    </row>
    <row r="17" spans="1:11" ht="67.5" customHeight="1" x14ac:dyDescent="0.2">
      <c r="B17" s="835" t="s">
        <v>243</v>
      </c>
      <c r="C17" s="836"/>
      <c r="D17" s="836"/>
      <c r="E17" s="836"/>
      <c r="F17" s="836"/>
      <c r="G17" s="836"/>
      <c r="H17" s="836"/>
      <c r="I17" s="836"/>
      <c r="J17" s="836"/>
      <c r="K17" s="836"/>
    </row>
    <row r="18" spans="1:11" ht="26.25" customHeight="1" x14ac:dyDescent="0.2">
      <c r="B18" s="835" t="s">
        <v>242</v>
      </c>
      <c r="C18" s="836"/>
      <c r="D18" s="836"/>
      <c r="E18" s="836"/>
      <c r="F18" s="836"/>
      <c r="G18" s="836"/>
      <c r="H18" s="836"/>
      <c r="I18" s="836"/>
      <c r="J18" s="836"/>
      <c r="K18" s="836"/>
    </row>
    <row r="19" spans="1:11" ht="12.75" x14ac:dyDescent="0.2">
      <c r="C19" s="35"/>
      <c r="D19" s="35"/>
      <c r="E19" s="35"/>
      <c r="F19" s="35"/>
      <c r="G19" s="35"/>
      <c r="H19" s="35"/>
      <c r="I19" s="35"/>
      <c r="J19" s="35"/>
      <c r="K19" s="35"/>
    </row>
    <row r="20" spans="1:11" ht="12.75" x14ac:dyDescent="0.2">
      <c r="A20" s="69" t="s">
        <v>241</v>
      </c>
      <c r="B20" s="783"/>
      <c r="C20" s="784"/>
      <c r="D20" s="784"/>
      <c r="E20" s="784"/>
      <c r="F20" s="784"/>
      <c r="G20" s="784"/>
      <c r="H20" s="785"/>
      <c r="I20" s="62" t="s">
        <v>240</v>
      </c>
      <c r="J20" s="62" t="s">
        <v>239</v>
      </c>
      <c r="K20" s="62" t="s">
        <v>205</v>
      </c>
    </row>
    <row r="21" spans="1:11" ht="12.75" x14ac:dyDescent="0.2">
      <c r="A21" s="69"/>
      <c r="B21" s="10" t="s">
        <v>63</v>
      </c>
      <c r="C21" s="800" t="s">
        <v>238</v>
      </c>
      <c r="D21" s="800"/>
      <c r="E21" s="800"/>
      <c r="F21" s="800"/>
      <c r="G21" s="800"/>
      <c r="H21" s="801"/>
      <c r="I21" s="174">
        <v>209</v>
      </c>
      <c r="J21" s="174">
        <v>30</v>
      </c>
      <c r="K21" s="10">
        <f>SUM(I21:J21)</f>
        <v>239</v>
      </c>
    </row>
    <row r="22" spans="1:11" ht="12.75" x14ac:dyDescent="0.2">
      <c r="A22" s="69"/>
      <c r="B22" s="10" t="s">
        <v>64</v>
      </c>
      <c r="C22" s="800" t="s">
        <v>237</v>
      </c>
      <c r="D22" s="800"/>
      <c r="E22" s="800"/>
      <c r="F22" s="800"/>
      <c r="G22" s="800"/>
      <c r="H22" s="801"/>
      <c r="I22" s="174">
        <v>45</v>
      </c>
      <c r="J22" s="174">
        <v>9</v>
      </c>
      <c r="K22" s="10">
        <f t="shared" ref="K22:K30" si="0">SUM(I22:J22)</f>
        <v>54</v>
      </c>
    </row>
    <row r="23" spans="1:11" ht="12.75" x14ac:dyDescent="0.2">
      <c r="A23" s="69"/>
      <c r="B23" s="10" t="s">
        <v>66</v>
      </c>
      <c r="C23" s="800" t="s">
        <v>236</v>
      </c>
      <c r="D23" s="800"/>
      <c r="E23" s="800"/>
      <c r="F23" s="800"/>
      <c r="G23" s="800"/>
      <c r="H23" s="801"/>
      <c r="I23" s="174">
        <v>195</v>
      </c>
      <c r="J23" s="174">
        <v>17</v>
      </c>
      <c r="K23" s="10">
        <f t="shared" si="0"/>
        <v>212</v>
      </c>
    </row>
    <row r="24" spans="1:11" ht="12.75" x14ac:dyDescent="0.2">
      <c r="A24" s="69"/>
      <c r="B24" s="10" t="s">
        <v>68</v>
      </c>
      <c r="C24" s="800" t="s">
        <v>235</v>
      </c>
      <c r="D24" s="800"/>
      <c r="E24" s="800"/>
      <c r="F24" s="800"/>
      <c r="G24" s="800"/>
      <c r="H24" s="801"/>
      <c r="I24" s="174">
        <v>104</v>
      </c>
      <c r="J24" s="174">
        <v>13</v>
      </c>
      <c r="K24" s="10">
        <f t="shared" si="0"/>
        <v>117</v>
      </c>
    </row>
    <row r="25" spans="1:11" ht="14.25" customHeight="1" x14ac:dyDescent="0.2">
      <c r="A25" s="69"/>
      <c r="B25" s="10" t="s">
        <v>70</v>
      </c>
      <c r="C25" s="800" t="s">
        <v>234</v>
      </c>
      <c r="D25" s="800"/>
      <c r="E25" s="800"/>
      <c r="F25" s="800"/>
      <c r="G25" s="800"/>
      <c r="H25" s="801"/>
      <c r="I25" s="174">
        <v>4</v>
      </c>
      <c r="J25" s="174">
        <v>2</v>
      </c>
      <c r="K25" s="10">
        <f t="shared" si="0"/>
        <v>6</v>
      </c>
    </row>
    <row r="26" spans="1:11" ht="12" customHeight="1" x14ac:dyDescent="0.2">
      <c r="A26" s="69"/>
      <c r="B26" s="10" t="s">
        <v>72</v>
      </c>
      <c r="C26" s="800" t="s">
        <v>233</v>
      </c>
      <c r="D26" s="800"/>
      <c r="E26" s="800"/>
      <c r="F26" s="800"/>
      <c r="G26" s="800"/>
      <c r="H26" s="801"/>
      <c r="I26" s="174">
        <v>204</v>
      </c>
      <c r="J26" s="174">
        <v>25</v>
      </c>
      <c r="K26" s="10">
        <f t="shared" si="0"/>
        <v>229</v>
      </c>
    </row>
    <row r="27" spans="1:11" ht="26.25" customHeight="1" x14ac:dyDescent="0.2">
      <c r="A27" s="69"/>
      <c r="B27" s="10" t="s">
        <v>74</v>
      </c>
      <c r="C27" s="800" t="s">
        <v>232</v>
      </c>
      <c r="D27" s="800"/>
      <c r="E27" s="800"/>
      <c r="F27" s="800"/>
      <c r="G27" s="800"/>
      <c r="H27" s="801"/>
      <c r="I27" s="174">
        <v>5</v>
      </c>
      <c r="J27" s="174">
        <v>5</v>
      </c>
      <c r="K27" s="10">
        <f t="shared" si="0"/>
        <v>10</v>
      </c>
    </row>
    <row r="28" spans="1:11" ht="12.75" x14ac:dyDescent="0.2">
      <c r="A28" s="69"/>
      <c r="B28" s="10" t="s">
        <v>76</v>
      </c>
      <c r="C28" s="800" t="s">
        <v>231</v>
      </c>
      <c r="D28" s="800"/>
      <c r="E28" s="800"/>
      <c r="F28" s="800"/>
      <c r="G28" s="800"/>
      <c r="H28" s="801"/>
      <c r="I28" s="174">
        <v>0</v>
      </c>
      <c r="J28" s="174">
        <v>0</v>
      </c>
      <c r="K28" s="10">
        <f t="shared" si="0"/>
        <v>0</v>
      </c>
    </row>
    <row r="29" spans="1:11" ht="25.5" customHeight="1" x14ac:dyDescent="0.2">
      <c r="A29" s="69"/>
      <c r="B29" s="10" t="s">
        <v>78</v>
      </c>
      <c r="C29" s="800" t="s">
        <v>230</v>
      </c>
      <c r="D29" s="800"/>
      <c r="E29" s="800"/>
      <c r="F29" s="800"/>
      <c r="G29" s="800"/>
      <c r="H29" s="801"/>
      <c r="I29" s="174" t="s">
        <v>603</v>
      </c>
      <c r="J29" s="174" t="s">
        <v>603</v>
      </c>
      <c r="K29" s="10">
        <f t="shared" si="0"/>
        <v>0</v>
      </c>
    </row>
    <row r="30" spans="1:11" ht="25.5" customHeight="1" x14ac:dyDescent="0.2">
      <c r="A30" s="69"/>
      <c r="B30" s="10" t="s">
        <v>80</v>
      </c>
      <c r="C30" s="801" t="s">
        <v>229</v>
      </c>
      <c r="D30" s="764"/>
      <c r="E30" s="764"/>
      <c r="F30" s="764"/>
      <c r="G30" s="764"/>
      <c r="H30" s="764"/>
      <c r="I30" s="174">
        <v>0</v>
      </c>
      <c r="J30" s="174">
        <v>0</v>
      </c>
      <c r="K30" s="10">
        <f t="shared" si="0"/>
        <v>0</v>
      </c>
    </row>
    <row r="31" spans="1:11" ht="10.5" customHeight="1" x14ac:dyDescent="0.2"/>
    <row r="32" spans="1:11" ht="12.75" x14ac:dyDescent="0.2">
      <c r="A32" s="69" t="s">
        <v>228</v>
      </c>
      <c r="B32" s="823" t="s">
        <v>227</v>
      </c>
      <c r="C32" s="716"/>
      <c r="D32" s="716"/>
      <c r="E32" s="716"/>
      <c r="F32" s="716"/>
      <c r="G32" s="716"/>
      <c r="H32" s="716"/>
      <c r="I32" s="716"/>
      <c r="J32" s="716"/>
      <c r="K32" s="716"/>
    </row>
    <row r="33" spans="1:11" ht="54.75" customHeight="1" x14ac:dyDescent="0.2">
      <c r="B33" s="577" t="s">
        <v>1960</v>
      </c>
      <c r="C33" s="577"/>
      <c r="D33" s="577"/>
      <c r="E33" s="577"/>
      <c r="F33" s="577"/>
      <c r="G33" s="577"/>
      <c r="H33" s="577"/>
      <c r="I33" s="577"/>
      <c r="J33" s="577"/>
      <c r="K33" s="577"/>
    </row>
    <row r="34" spans="1:11" ht="12.75" customHeight="1" x14ac:dyDescent="0.2">
      <c r="B34" s="773" t="s">
        <v>226</v>
      </c>
      <c r="C34" s="773"/>
      <c r="D34" s="773"/>
      <c r="E34" s="773"/>
      <c r="F34" s="773"/>
      <c r="G34" s="773"/>
      <c r="H34" s="773"/>
      <c r="I34" s="773"/>
      <c r="J34" s="773"/>
      <c r="K34" s="773"/>
    </row>
    <row r="35" spans="1:11" ht="11.25" customHeight="1" x14ac:dyDescent="0.2">
      <c r="B35" s="5"/>
      <c r="C35" s="5"/>
      <c r="D35" s="5"/>
      <c r="E35" s="5"/>
      <c r="F35" s="5"/>
      <c r="G35" s="5"/>
      <c r="H35" s="5"/>
      <c r="I35" s="5"/>
      <c r="J35" s="5"/>
      <c r="K35" s="5"/>
    </row>
    <row r="36" spans="1:11" s="56" customFormat="1" ht="12.75" x14ac:dyDescent="0.25">
      <c r="A36" s="66"/>
      <c r="B36" s="833" t="s">
        <v>203</v>
      </c>
      <c r="C36" s="833"/>
      <c r="D36" s="833"/>
      <c r="E36" s="833"/>
      <c r="F36" s="833"/>
      <c r="G36" s="244" t="s">
        <v>603</v>
      </c>
      <c r="H36" s="74" t="s">
        <v>225</v>
      </c>
      <c r="I36" s="56" t="s">
        <v>224</v>
      </c>
      <c r="J36" s="174" t="s">
        <v>603</v>
      </c>
      <c r="K36" s="56" t="s">
        <v>223</v>
      </c>
    </row>
    <row r="37" spans="1:11" s="56" customFormat="1" ht="12.75" x14ac:dyDescent="0.25">
      <c r="I37" s="73" t="s">
        <v>222</v>
      </c>
      <c r="J37" s="174" t="s">
        <v>603</v>
      </c>
      <c r="K37" s="56" t="s">
        <v>221</v>
      </c>
    </row>
    <row r="38" spans="1:11" ht="16.5" customHeight="1" x14ac:dyDescent="0.2">
      <c r="A38" s="66" t="s">
        <v>220</v>
      </c>
      <c r="B38" s="823" t="s">
        <v>219</v>
      </c>
      <c r="C38" s="716"/>
      <c r="D38" s="716"/>
      <c r="E38" s="716"/>
      <c r="F38" s="716"/>
      <c r="G38" s="716"/>
      <c r="H38" s="716"/>
      <c r="I38" s="716"/>
      <c r="J38" s="716"/>
      <c r="K38" s="716"/>
    </row>
    <row r="39" spans="1:11" ht="27" customHeight="1" x14ac:dyDescent="0.2">
      <c r="A39" s="69"/>
      <c r="B39" s="577" t="s">
        <v>1961</v>
      </c>
      <c r="C39" s="577"/>
      <c r="D39" s="577"/>
      <c r="E39" s="577"/>
      <c r="F39" s="577"/>
      <c r="G39" s="577"/>
      <c r="H39" s="577"/>
      <c r="I39" s="577"/>
      <c r="J39" s="577"/>
      <c r="K39" s="577"/>
    </row>
    <row r="40" spans="1:11" ht="27" customHeight="1" x14ac:dyDescent="0.2">
      <c r="A40" s="69"/>
      <c r="B40" s="779" t="s">
        <v>218</v>
      </c>
      <c r="C40" s="561"/>
      <c r="D40" s="561"/>
      <c r="E40" s="561"/>
      <c r="F40" s="561"/>
      <c r="G40" s="561"/>
      <c r="H40" s="561"/>
      <c r="I40" s="561"/>
      <c r="J40" s="561"/>
      <c r="K40" s="561"/>
    </row>
    <row r="41" spans="1:11" ht="111.75" customHeight="1" x14ac:dyDescent="0.2">
      <c r="A41" s="69"/>
      <c r="B41" s="832" t="s">
        <v>217</v>
      </c>
      <c r="C41" s="561"/>
      <c r="D41" s="561"/>
      <c r="E41" s="561"/>
      <c r="F41" s="561"/>
      <c r="G41" s="561"/>
      <c r="H41" s="561"/>
      <c r="I41" s="561"/>
      <c r="J41" s="561"/>
      <c r="K41" s="561"/>
    </row>
    <row r="42" spans="1:11" ht="90" customHeight="1" x14ac:dyDescent="0.2">
      <c r="A42" s="69"/>
      <c r="B42" s="832" t="s">
        <v>216</v>
      </c>
      <c r="C42" s="561"/>
      <c r="D42" s="561"/>
      <c r="E42" s="561"/>
      <c r="F42" s="561"/>
      <c r="G42" s="561"/>
      <c r="H42" s="561"/>
      <c r="I42" s="561"/>
      <c r="J42" s="561"/>
      <c r="K42" s="561"/>
    </row>
    <row r="43" spans="1:11" ht="54" customHeight="1" x14ac:dyDescent="0.2">
      <c r="A43" s="69"/>
      <c r="B43" s="577" t="s">
        <v>1962</v>
      </c>
      <c r="C43" s="577"/>
      <c r="D43" s="577"/>
      <c r="E43" s="577"/>
      <c r="F43" s="577"/>
      <c r="G43" s="577"/>
      <c r="H43" s="577"/>
      <c r="I43" s="577"/>
      <c r="J43" s="577"/>
      <c r="K43" s="577"/>
    </row>
    <row r="44" spans="1:11" ht="12.75" x14ac:dyDescent="0.2">
      <c r="A44" s="69"/>
      <c r="B44" s="72"/>
      <c r="C44" s="72"/>
      <c r="D44" s="72"/>
      <c r="E44" s="72"/>
      <c r="F44" s="72"/>
      <c r="G44" s="72"/>
      <c r="H44" s="72"/>
      <c r="I44" s="72"/>
      <c r="J44" s="72"/>
      <c r="K44" s="72"/>
    </row>
    <row r="45" spans="1:11" ht="12.75" x14ac:dyDescent="0.2">
      <c r="A45" s="69"/>
      <c r="B45" s="828" t="s">
        <v>215</v>
      </c>
      <c r="C45" s="737"/>
      <c r="D45" s="737"/>
      <c r="E45" s="737"/>
      <c r="F45" s="737"/>
      <c r="G45" s="737"/>
      <c r="H45" s="737"/>
      <c r="I45" s="737"/>
      <c r="J45" s="737"/>
      <c r="K45" s="737"/>
    </row>
    <row r="46" spans="1:11" ht="12.75" x14ac:dyDescent="0.2"/>
    <row r="47" spans="1:11" ht="12.75" x14ac:dyDescent="0.2">
      <c r="A47" s="69"/>
      <c r="B47" s="829" t="s">
        <v>214</v>
      </c>
      <c r="C47" s="829"/>
      <c r="D47" s="829"/>
      <c r="E47" s="829"/>
      <c r="F47" s="829"/>
      <c r="G47" s="829"/>
      <c r="H47" s="829"/>
      <c r="I47" s="829"/>
      <c r="J47" s="829"/>
      <c r="K47" s="829"/>
    </row>
    <row r="48" spans="1:11" ht="12.75" customHeight="1" x14ac:dyDescent="0.2">
      <c r="A48" s="69"/>
      <c r="B48" s="826"/>
      <c r="C48" s="827"/>
      <c r="D48" s="70" t="s">
        <v>212</v>
      </c>
      <c r="E48" s="70" t="s">
        <v>211</v>
      </c>
      <c r="F48" s="70" t="s">
        <v>210</v>
      </c>
      <c r="G48" s="70" t="s">
        <v>209</v>
      </c>
      <c r="H48" s="70" t="s">
        <v>208</v>
      </c>
      <c r="I48" s="70" t="s">
        <v>207</v>
      </c>
      <c r="J48" s="70" t="s">
        <v>206</v>
      </c>
      <c r="K48" s="70" t="s">
        <v>205</v>
      </c>
    </row>
    <row r="49" spans="1:11" ht="26.25" customHeight="1" x14ac:dyDescent="0.2">
      <c r="A49" s="69"/>
      <c r="B49" s="830" t="s">
        <v>213</v>
      </c>
      <c r="C49" s="831"/>
      <c r="D49" s="174" t="s">
        <v>603</v>
      </c>
      <c r="E49" s="174" t="s">
        <v>603</v>
      </c>
      <c r="F49" s="174" t="s">
        <v>603</v>
      </c>
      <c r="G49" s="174" t="s">
        <v>603</v>
      </c>
      <c r="H49" s="174" t="s">
        <v>603</v>
      </c>
      <c r="I49" s="174" t="s">
        <v>603</v>
      </c>
      <c r="J49" s="174" t="s">
        <v>603</v>
      </c>
      <c r="K49" s="10">
        <f>SUM(D49:J49)</f>
        <v>0</v>
      </c>
    </row>
    <row r="50" spans="1:11" ht="12.75" x14ac:dyDescent="0.2">
      <c r="B50" s="560"/>
      <c r="C50" s="560"/>
    </row>
    <row r="51" spans="1:11" ht="12.75" customHeight="1" x14ac:dyDescent="0.2">
      <c r="A51" s="69"/>
      <c r="B51" s="826"/>
      <c r="C51" s="827"/>
      <c r="D51" s="70" t="s">
        <v>212</v>
      </c>
      <c r="E51" s="70" t="s">
        <v>211</v>
      </c>
      <c r="F51" s="70" t="s">
        <v>210</v>
      </c>
      <c r="G51" s="70" t="s">
        <v>209</v>
      </c>
      <c r="H51" s="70" t="s">
        <v>208</v>
      </c>
      <c r="I51" s="70" t="s">
        <v>207</v>
      </c>
      <c r="J51" s="70" t="s">
        <v>206</v>
      </c>
      <c r="K51" s="70" t="s">
        <v>205</v>
      </c>
    </row>
    <row r="52" spans="1:11" ht="26.25" customHeight="1" x14ac:dyDescent="0.2">
      <c r="A52" s="69"/>
      <c r="B52" s="826" t="s">
        <v>204</v>
      </c>
      <c r="C52" s="827"/>
      <c r="D52" s="174" t="s">
        <v>603</v>
      </c>
      <c r="E52" s="174" t="s">
        <v>603</v>
      </c>
      <c r="F52" s="174" t="s">
        <v>603</v>
      </c>
      <c r="G52" s="174" t="s">
        <v>603</v>
      </c>
      <c r="H52" s="174" t="s">
        <v>603</v>
      </c>
      <c r="I52" s="174" t="s">
        <v>603</v>
      </c>
      <c r="J52" s="174" t="s">
        <v>1760</v>
      </c>
      <c r="K52" s="10">
        <f>SUM(D52:J52)</f>
        <v>0</v>
      </c>
    </row>
    <row r="53" spans="1:11" ht="12.75" x14ac:dyDescent="0.2"/>
    <row r="54" spans="1:11" ht="12.75" x14ac:dyDescent="0.2"/>
    <row r="55" spans="1:11" ht="12.75" x14ac:dyDescent="0.2">
      <c r="B55" s="226"/>
      <c r="C55" s="226"/>
      <c r="D55" s="226"/>
      <c r="E55" s="226"/>
      <c r="F55" s="226"/>
      <c r="G55" s="226"/>
      <c r="H55" s="226"/>
      <c r="I55" s="226"/>
      <c r="J55" s="226"/>
      <c r="K55" s="226"/>
    </row>
    <row r="56" spans="1:11" ht="12.75" x14ac:dyDescent="0.2">
      <c r="B56" s="226"/>
      <c r="C56" s="226"/>
      <c r="D56" s="226"/>
      <c r="E56" s="226"/>
      <c r="F56" s="226"/>
      <c r="G56" s="226"/>
      <c r="H56" s="226"/>
      <c r="I56" s="226"/>
      <c r="J56" s="226"/>
      <c r="K56" s="226"/>
    </row>
    <row r="57" spans="1:11" ht="12.75" x14ac:dyDescent="0.2">
      <c r="B57" s="226"/>
      <c r="C57" s="226"/>
      <c r="D57" s="226"/>
      <c r="E57" s="226"/>
      <c r="F57" s="226"/>
      <c r="G57" s="226"/>
      <c r="H57" s="226"/>
      <c r="I57" s="226"/>
      <c r="J57" s="226"/>
      <c r="K57" s="226"/>
    </row>
    <row r="58" spans="1:11" ht="12.75" x14ac:dyDescent="0.2">
      <c r="B58" s="226"/>
      <c r="C58" s="226"/>
      <c r="D58" s="226"/>
      <c r="E58" s="226"/>
      <c r="F58" s="226"/>
      <c r="G58" s="226"/>
      <c r="H58" s="226"/>
      <c r="I58" s="226"/>
      <c r="J58" s="226"/>
      <c r="K58" s="226"/>
    </row>
    <row r="59" spans="1:11" ht="12.75" x14ac:dyDescent="0.2">
      <c r="B59" s="226"/>
      <c r="C59" s="226"/>
      <c r="D59" s="226"/>
      <c r="E59" s="226"/>
      <c r="F59" s="226"/>
      <c r="G59" s="226"/>
      <c r="H59" s="226"/>
      <c r="I59" s="226"/>
      <c r="J59" s="226"/>
      <c r="K59" s="226"/>
    </row>
    <row r="60" spans="1:11" ht="12.75" x14ac:dyDescent="0.2">
      <c r="B60" s="226"/>
      <c r="C60" s="226"/>
      <c r="D60" s="226"/>
      <c r="E60" s="226"/>
      <c r="F60" s="226"/>
      <c r="G60" s="226"/>
      <c r="H60" s="226"/>
      <c r="I60" s="226"/>
      <c r="J60" s="226"/>
      <c r="K60" s="226"/>
    </row>
    <row r="61" spans="1:11" ht="12.75" x14ac:dyDescent="0.2"/>
  </sheetData>
  <sheetProtection algorithmName="SHA-512" hashValue="YJ14OsgXpgfd600wOg8+rAqxP7k4cx7AcB7xJ6yYBSWd+9YzzARQt7eZis+W92GQbqQet8oecoVjjqmzMmA3IQ==" saltValue="KQLEFjTRuG5abI4AoiQMAQ==" spinCount="100000" sheet="1" objects="1" scenarios="1"/>
  <mergeCells count="43">
    <mergeCell ref="C8:I8"/>
    <mergeCell ref="C9:I9"/>
    <mergeCell ref="C10:I10"/>
    <mergeCell ref="C11:I11"/>
    <mergeCell ref="A1:K1"/>
    <mergeCell ref="B3:K3"/>
    <mergeCell ref="B4:K4"/>
    <mergeCell ref="C6:I6"/>
    <mergeCell ref="C7:I7"/>
    <mergeCell ref="C12:I12"/>
    <mergeCell ref="B14:K14"/>
    <mergeCell ref="C28:H28"/>
    <mergeCell ref="B16:K16"/>
    <mergeCell ref="B17:K17"/>
    <mergeCell ref="B18:K18"/>
    <mergeCell ref="B20:H20"/>
    <mergeCell ref="C21:H21"/>
    <mergeCell ref="C22:H22"/>
    <mergeCell ref="C23:H23"/>
    <mergeCell ref="B15:K15"/>
    <mergeCell ref="C24:H24"/>
    <mergeCell ref="C25:H25"/>
    <mergeCell ref="C26:H26"/>
    <mergeCell ref="C27:H27"/>
    <mergeCell ref="B43:K43"/>
    <mergeCell ref="C29:H29"/>
    <mergeCell ref="C30:H30"/>
    <mergeCell ref="B32:K32"/>
    <mergeCell ref="B33:K33"/>
    <mergeCell ref="B34:K34"/>
    <mergeCell ref="B42:K42"/>
    <mergeCell ref="B36:F36"/>
    <mergeCell ref="B38:K38"/>
    <mergeCell ref="B39:K39"/>
    <mergeCell ref="B40:K40"/>
    <mergeCell ref="B41:K41"/>
    <mergeCell ref="B52:C52"/>
    <mergeCell ref="B45:K45"/>
    <mergeCell ref="B47:K47"/>
    <mergeCell ref="B48:C48"/>
    <mergeCell ref="B49:C49"/>
    <mergeCell ref="B50:C50"/>
    <mergeCell ref="B51:C51"/>
  </mergeCells>
  <pageMargins left="0.75" right="0.75" top="1" bottom="1" header="0.5" footer="0.5"/>
  <pageSetup scale="75" orientation="portrait" r:id="rId1"/>
  <headerFooter alignWithMargins="0">
    <oddHeader>&amp;LCommon Data Set 2021-2022</oddHeader>
    <oddFooter>&amp;LCDS-I&amp;C
&amp;RPage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52"/>
  <sheetViews>
    <sheetView showGridLines="0" showRowColHeaders="0" showRuler="0" zoomScale="130" zoomScaleNormal="130" zoomScalePageLayoutView="120" workbookViewId="0">
      <selection activeCell="D6" sqref="D6"/>
    </sheetView>
  </sheetViews>
  <sheetFormatPr defaultColWidth="0" defaultRowHeight="0" customHeight="1" zeroHeight="1" x14ac:dyDescent="0.2"/>
  <cols>
    <col min="1" max="1" width="3.625" style="2" customWidth="1"/>
    <col min="2" max="2" width="41.875" style="1" customWidth="1"/>
    <col min="3" max="3" width="20" style="1" customWidth="1"/>
    <col min="4" max="5" width="15.375" style="1" customWidth="1"/>
    <col min="6" max="6" width="11.625" style="1" customWidth="1"/>
    <col min="7" max="16383" width="6" style="1" customWidth="1"/>
    <col min="16384" max="16384" width="3" style="1" customWidth="1"/>
  </cols>
  <sheetData>
    <row r="1" spans="1:6" ht="18" x14ac:dyDescent="0.2">
      <c r="A1" s="842" t="s">
        <v>313</v>
      </c>
      <c r="B1" s="842"/>
      <c r="C1" s="842"/>
      <c r="D1" s="842"/>
      <c r="E1" s="842"/>
      <c r="F1" s="842"/>
    </row>
    <row r="2" spans="1:6" ht="12.75" x14ac:dyDescent="0.2"/>
    <row r="3" spans="1:6" ht="12.75" x14ac:dyDescent="0.2">
      <c r="A3" s="24" t="s">
        <v>312</v>
      </c>
      <c r="B3" s="66" t="s">
        <v>1558</v>
      </c>
    </row>
    <row r="4" spans="1:6" s="56" customFormat="1" ht="72" customHeight="1" x14ac:dyDescent="0.25">
      <c r="A4" s="85"/>
      <c r="B4" s="764" t="s">
        <v>311</v>
      </c>
      <c r="C4" s="764"/>
      <c r="D4" s="764"/>
      <c r="E4" s="764"/>
      <c r="F4" s="764"/>
    </row>
    <row r="5" spans="1:6" ht="39" customHeight="1" x14ac:dyDescent="0.2">
      <c r="A5" s="24"/>
      <c r="B5" s="14" t="s">
        <v>310</v>
      </c>
      <c r="C5" s="14" t="s">
        <v>309</v>
      </c>
      <c r="D5" s="14" t="s">
        <v>308</v>
      </c>
      <c r="E5" s="14" t="s">
        <v>307</v>
      </c>
      <c r="F5" s="14" t="s">
        <v>306</v>
      </c>
    </row>
    <row r="6" spans="1:6" ht="12.75" x14ac:dyDescent="0.2">
      <c r="A6" s="24"/>
      <c r="B6" s="181" t="s">
        <v>305</v>
      </c>
      <c r="C6" s="467" t="s">
        <v>603</v>
      </c>
      <c r="D6" s="467"/>
      <c r="E6" s="467"/>
      <c r="F6" s="182" t="s">
        <v>304</v>
      </c>
    </row>
    <row r="7" spans="1:6" ht="12.75" x14ac:dyDescent="0.2">
      <c r="A7" s="24"/>
      <c r="B7" s="183" t="s">
        <v>303</v>
      </c>
      <c r="C7" s="467" t="s">
        <v>603</v>
      </c>
      <c r="D7" s="467"/>
      <c r="E7" s="467"/>
      <c r="F7" s="182" t="s">
        <v>302</v>
      </c>
    </row>
    <row r="8" spans="1:6" ht="12.75" x14ac:dyDescent="0.2">
      <c r="A8" s="24"/>
      <c r="B8" s="181" t="s">
        <v>301</v>
      </c>
      <c r="C8" s="467" t="s">
        <v>603</v>
      </c>
      <c r="D8" s="467"/>
      <c r="E8" s="467"/>
      <c r="F8" s="182" t="s">
        <v>300</v>
      </c>
    </row>
    <row r="9" spans="1:6" ht="12.75" x14ac:dyDescent="0.2">
      <c r="A9" s="24"/>
      <c r="B9" s="183" t="s">
        <v>299</v>
      </c>
      <c r="C9" s="467" t="s">
        <v>603</v>
      </c>
      <c r="D9" s="467"/>
      <c r="E9" s="467"/>
      <c r="F9" s="182" t="s">
        <v>298</v>
      </c>
    </row>
    <row r="10" spans="1:6" ht="12.75" x14ac:dyDescent="0.2">
      <c r="A10" s="24"/>
      <c r="B10" s="181" t="s">
        <v>297</v>
      </c>
      <c r="C10" s="467" t="s">
        <v>603</v>
      </c>
      <c r="D10" s="467"/>
      <c r="E10" s="467"/>
      <c r="F10" s="182" t="s">
        <v>296</v>
      </c>
    </row>
    <row r="11" spans="1:6" ht="12.75" x14ac:dyDescent="0.2">
      <c r="A11" s="24"/>
      <c r="B11" s="181" t="s">
        <v>295</v>
      </c>
      <c r="C11" s="467" t="s">
        <v>603</v>
      </c>
      <c r="D11" s="467"/>
      <c r="E11" s="467"/>
      <c r="F11" s="184">
        <v>10</v>
      </c>
    </row>
    <row r="12" spans="1:6" ht="12.75" x14ac:dyDescent="0.2">
      <c r="A12" s="24"/>
      <c r="B12" s="181" t="s">
        <v>294</v>
      </c>
      <c r="C12" s="467" t="s">
        <v>603</v>
      </c>
      <c r="D12" s="467"/>
      <c r="E12" s="467"/>
      <c r="F12" s="184">
        <v>11</v>
      </c>
    </row>
    <row r="13" spans="1:6" ht="12.75" x14ac:dyDescent="0.2">
      <c r="A13" s="24"/>
      <c r="B13" s="181" t="s">
        <v>293</v>
      </c>
      <c r="C13" s="467" t="s">
        <v>603</v>
      </c>
      <c r="D13" s="467"/>
      <c r="E13" s="467"/>
      <c r="F13" s="184">
        <v>12</v>
      </c>
    </row>
    <row r="14" spans="1:6" ht="12.75" x14ac:dyDescent="0.2">
      <c r="A14" s="24"/>
      <c r="B14" s="181" t="s">
        <v>292</v>
      </c>
      <c r="C14" s="467" t="s">
        <v>603</v>
      </c>
      <c r="D14" s="467"/>
      <c r="E14" s="467"/>
      <c r="F14" s="184">
        <v>13</v>
      </c>
    </row>
    <row r="15" spans="1:6" ht="12.75" x14ac:dyDescent="0.2">
      <c r="A15" s="24"/>
      <c r="B15" s="181" t="s">
        <v>291</v>
      </c>
      <c r="C15" s="467" t="s">
        <v>603</v>
      </c>
      <c r="D15" s="467"/>
      <c r="E15" s="467"/>
      <c r="F15" s="184">
        <v>14</v>
      </c>
    </row>
    <row r="16" spans="1:6" ht="12.75" x14ac:dyDescent="0.2">
      <c r="A16" s="24"/>
      <c r="B16" s="181" t="s">
        <v>290</v>
      </c>
      <c r="C16" s="467" t="s">
        <v>603</v>
      </c>
      <c r="D16" s="467"/>
      <c r="E16" s="467"/>
      <c r="F16" s="184">
        <v>15</v>
      </c>
    </row>
    <row r="17" spans="1:6" ht="12.75" x14ac:dyDescent="0.2">
      <c r="A17" s="24"/>
      <c r="B17" s="181" t="s">
        <v>289</v>
      </c>
      <c r="C17" s="467" t="s">
        <v>603</v>
      </c>
      <c r="D17" s="467"/>
      <c r="E17" s="467"/>
      <c r="F17" s="184">
        <v>16</v>
      </c>
    </row>
    <row r="18" spans="1:6" ht="12.75" x14ac:dyDescent="0.2">
      <c r="A18" s="24"/>
      <c r="B18" s="181" t="s">
        <v>288</v>
      </c>
      <c r="C18" s="467"/>
      <c r="D18" s="467"/>
      <c r="E18" s="467"/>
      <c r="F18" s="184">
        <v>19</v>
      </c>
    </row>
    <row r="19" spans="1:6" ht="12.75" x14ac:dyDescent="0.2">
      <c r="A19" s="24"/>
      <c r="B19" s="181" t="s">
        <v>287</v>
      </c>
      <c r="C19" s="467"/>
      <c r="D19" s="467"/>
      <c r="E19" s="467"/>
      <c r="F19" s="184">
        <v>22</v>
      </c>
    </row>
    <row r="20" spans="1:6" ht="12.75" x14ac:dyDescent="0.2">
      <c r="A20" s="24"/>
      <c r="B20" s="181" t="s">
        <v>286</v>
      </c>
      <c r="C20" s="467"/>
      <c r="D20" s="467"/>
      <c r="E20" s="467"/>
      <c r="F20" s="184">
        <v>23</v>
      </c>
    </row>
    <row r="21" spans="1:6" ht="12.75" x14ac:dyDescent="0.2">
      <c r="A21" s="24"/>
      <c r="B21" s="181" t="s">
        <v>285</v>
      </c>
      <c r="C21" s="467"/>
      <c r="D21" s="467"/>
      <c r="E21" s="467"/>
      <c r="F21" s="184">
        <v>24</v>
      </c>
    </row>
    <row r="22" spans="1:6" ht="12.75" x14ac:dyDescent="0.2">
      <c r="A22" s="24"/>
      <c r="B22" s="181" t="s">
        <v>284</v>
      </c>
      <c r="C22" s="467"/>
      <c r="D22" s="467"/>
      <c r="E22" s="467"/>
      <c r="F22" s="184">
        <v>25</v>
      </c>
    </row>
    <row r="23" spans="1:6" ht="12.75" x14ac:dyDescent="0.2">
      <c r="A23" s="24"/>
      <c r="B23" s="181" t="s">
        <v>283</v>
      </c>
      <c r="C23" s="467"/>
      <c r="D23" s="467"/>
      <c r="E23" s="467"/>
      <c r="F23" s="184">
        <v>26</v>
      </c>
    </row>
    <row r="24" spans="1:6" ht="12.75" x14ac:dyDescent="0.2">
      <c r="A24" s="24"/>
      <c r="B24" s="181" t="s">
        <v>282</v>
      </c>
      <c r="C24" s="467"/>
      <c r="D24" s="467"/>
      <c r="E24" s="467"/>
      <c r="F24" s="184">
        <v>27</v>
      </c>
    </row>
    <row r="25" spans="1:6" ht="12.75" x14ac:dyDescent="0.2">
      <c r="A25" s="24"/>
      <c r="B25" s="181" t="s">
        <v>281</v>
      </c>
      <c r="C25" s="467"/>
      <c r="D25" s="467"/>
      <c r="E25" s="467"/>
      <c r="F25" s="184" t="s">
        <v>280</v>
      </c>
    </row>
    <row r="26" spans="1:6" ht="12.75" x14ac:dyDescent="0.2">
      <c r="A26" s="24"/>
      <c r="B26" s="181" t="s">
        <v>279</v>
      </c>
      <c r="C26" s="467"/>
      <c r="D26" s="467"/>
      <c r="E26" s="467"/>
      <c r="F26" s="184">
        <v>30</v>
      </c>
    </row>
    <row r="27" spans="1:6" ht="12.75" x14ac:dyDescent="0.2">
      <c r="A27" s="24"/>
      <c r="B27" s="181" t="s">
        <v>278</v>
      </c>
      <c r="C27" s="467"/>
      <c r="D27" s="467"/>
      <c r="E27" s="467"/>
      <c r="F27" s="184">
        <v>31</v>
      </c>
    </row>
    <row r="28" spans="1:6" ht="12.75" x14ac:dyDescent="0.2">
      <c r="A28" s="24"/>
      <c r="B28" s="181" t="s">
        <v>277</v>
      </c>
      <c r="C28" s="467"/>
      <c r="D28" s="467"/>
      <c r="E28" s="467"/>
      <c r="F28" s="184">
        <v>38</v>
      </c>
    </row>
    <row r="29" spans="1:6" ht="12.75" x14ac:dyDescent="0.2">
      <c r="A29" s="24"/>
      <c r="B29" s="181" t="s">
        <v>276</v>
      </c>
      <c r="C29" s="467"/>
      <c r="D29" s="467"/>
      <c r="E29" s="467"/>
      <c r="F29" s="184">
        <v>39</v>
      </c>
    </row>
    <row r="30" spans="1:6" ht="12.75" x14ac:dyDescent="0.2">
      <c r="A30" s="24"/>
      <c r="B30" s="181" t="s">
        <v>275</v>
      </c>
      <c r="C30" s="467"/>
      <c r="D30" s="467"/>
      <c r="E30" s="467"/>
      <c r="F30" s="184">
        <v>40</v>
      </c>
    </row>
    <row r="31" spans="1:6" ht="12.75" x14ac:dyDescent="0.2">
      <c r="A31" s="24"/>
      <c r="B31" s="181" t="s">
        <v>274</v>
      </c>
      <c r="C31" s="467"/>
      <c r="D31" s="467"/>
      <c r="E31" s="467"/>
      <c r="F31" s="184">
        <v>41</v>
      </c>
    </row>
    <row r="32" spans="1:6" ht="12.75" x14ac:dyDescent="0.2">
      <c r="A32" s="24"/>
      <c r="B32" s="181" t="s">
        <v>273</v>
      </c>
      <c r="C32" s="467"/>
      <c r="D32" s="467"/>
      <c r="E32" s="467"/>
      <c r="F32" s="184">
        <v>42</v>
      </c>
    </row>
    <row r="33" spans="1:6" ht="25.5" x14ac:dyDescent="0.2">
      <c r="A33" s="24"/>
      <c r="B33" s="185" t="s">
        <v>272</v>
      </c>
      <c r="C33" s="467"/>
      <c r="D33" s="467"/>
      <c r="E33" s="467"/>
      <c r="F33" s="184">
        <v>43</v>
      </c>
    </row>
    <row r="34" spans="1:6" ht="12.75" x14ac:dyDescent="0.2">
      <c r="A34" s="24"/>
      <c r="B34" s="181" t="s">
        <v>271</v>
      </c>
      <c r="C34" s="467"/>
      <c r="D34" s="467"/>
      <c r="E34" s="467"/>
      <c r="F34" s="184">
        <v>44</v>
      </c>
    </row>
    <row r="35" spans="1:6" ht="12.75" x14ac:dyDescent="0.2">
      <c r="A35" s="24"/>
      <c r="B35" s="181" t="s">
        <v>270</v>
      </c>
      <c r="C35" s="467"/>
      <c r="D35" s="467"/>
      <c r="E35" s="467"/>
      <c r="F35" s="184">
        <v>45</v>
      </c>
    </row>
    <row r="36" spans="1:6" ht="12.75" x14ac:dyDescent="0.2">
      <c r="A36" s="24"/>
      <c r="B36" s="181" t="s">
        <v>269</v>
      </c>
      <c r="C36" s="467"/>
      <c r="D36" s="467"/>
      <c r="E36" s="467"/>
      <c r="F36" s="184">
        <v>46</v>
      </c>
    </row>
    <row r="37" spans="1:6" ht="12.75" x14ac:dyDescent="0.2">
      <c r="A37" s="24"/>
      <c r="B37" s="181" t="s">
        <v>268</v>
      </c>
      <c r="C37" s="467"/>
      <c r="D37" s="467"/>
      <c r="E37" s="467"/>
      <c r="F37" s="184">
        <v>47</v>
      </c>
    </row>
    <row r="38" spans="1:6" ht="12.75" x14ac:dyDescent="0.2">
      <c r="A38" s="24"/>
      <c r="B38" s="181" t="s">
        <v>267</v>
      </c>
      <c r="C38" s="467"/>
      <c r="D38" s="467"/>
      <c r="E38" s="467"/>
      <c r="F38" s="184">
        <v>48</v>
      </c>
    </row>
    <row r="39" spans="1:6" ht="12.75" x14ac:dyDescent="0.2">
      <c r="A39" s="24"/>
      <c r="B39" s="181" t="s">
        <v>266</v>
      </c>
      <c r="C39" s="467"/>
      <c r="D39" s="467"/>
      <c r="E39" s="467"/>
      <c r="F39" s="184">
        <v>49</v>
      </c>
    </row>
    <row r="40" spans="1:6" ht="12.75" x14ac:dyDescent="0.2">
      <c r="A40" s="24"/>
      <c r="B40" s="181" t="s">
        <v>265</v>
      </c>
      <c r="C40" s="467"/>
      <c r="D40" s="467"/>
      <c r="E40" s="467"/>
      <c r="F40" s="184">
        <v>50</v>
      </c>
    </row>
    <row r="41" spans="1:6" ht="12.75" x14ac:dyDescent="0.2">
      <c r="A41" s="24"/>
      <c r="B41" s="181" t="s">
        <v>264</v>
      </c>
      <c r="C41" s="467"/>
      <c r="D41" s="467"/>
      <c r="E41" s="467"/>
      <c r="F41" s="184">
        <v>51</v>
      </c>
    </row>
    <row r="42" spans="1:6" ht="12.75" x14ac:dyDescent="0.2">
      <c r="A42" s="24"/>
      <c r="B42" s="181" t="s">
        <v>263</v>
      </c>
      <c r="C42" s="467"/>
      <c r="D42" s="467"/>
      <c r="E42" s="467"/>
      <c r="F42" s="184">
        <v>52</v>
      </c>
    </row>
    <row r="43" spans="1:6" ht="12.75" x14ac:dyDescent="0.2">
      <c r="A43" s="24"/>
      <c r="B43" s="181" t="s">
        <v>262</v>
      </c>
      <c r="C43" s="467"/>
      <c r="D43" s="467"/>
      <c r="E43" s="467"/>
      <c r="F43" s="184">
        <v>54</v>
      </c>
    </row>
    <row r="44" spans="1:6" ht="12.75" x14ac:dyDescent="0.2">
      <c r="A44" s="24"/>
      <c r="B44" s="86" t="s">
        <v>202</v>
      </c>
      <c r="C44" s="238"/>
      <c r="D44" s="238"/>
      <c r="E44" s="238"/>
      <c r="F44" s="87"/>
    </row>
    <row r="45" spans="1:6" ht="12.75" x14ac:dyDescent="0.2">
      <c r="A45" s="24"/>
      <c r="B45" s="147" t="s">
        <v>261</v>
      </c>
      <c r="C45" s="186">
        <f>SUM(C6:C44)</f>
        <v>0</v>
      </c>
      <c r="D45" s="186">
        <f>SUM(D6:D44)</f>
        <v>0</v>
      </c>
      <c r="E45" s="186">
        <f>SUM(E6:E44)</f>
        <v>0</v>
      </c>
      <c r="F45" s="168"/>
    </row>
    <row r="46" spans="1:6" ht="12.75" x14ac:dyDescent="0.2">
      <c r="A46" s="24"/>
      <c r="B46" s="239"/>
      <c r="C46" s="240"/>
      <c r="D46" s="240"/>
      <c r="E46" s="240"/>
      <c r="F46" s="178"/>
    </row>
    <row r="47" spans="1:6" ht="12.75" x14ac:dyDescent="0.2">
      <c r="A47" s="24"/>
      <c r="B47" s="241"/>
      <c r="C47" s="242"/>
      <c r="D47" s="242"/>
      <c r="E47" s="242"/>
      <c r="F47" s="243"/>
    </row>
    <row r="48" spans="1:6" ht="12.75" x14ac:dyDescent="0.2">
      <c r="A48" s="24"/>
      <c r="B48" s="241"/>
      <c r="C48" s="242"/>
      <c r="D48" s="242"/>
      <c r="E48" s="242"/>
      <c r="F48" s="243"/>
    </row>
    <row r="49" spans="1:6" ht="12.75" x14ac:dyDescent="0.2">
      <c r="A49" s="24"/>
      <c r="B49" s="241"/>
      <c r="C49" s="242"/>
      <c r="D49" s="242"/>
      <c r="E49" s="242"/>
      <c r="F49" s="243"/>
    </row>
    <row r="50" spans="1:6" ht="12.75" x14ac:dyDescent="0.2">
      <c r="A50" s="24"/>
      <c r="B50" s="241"/>
      <c r="C50" s="242"/>
      <c r="D50" s="242"/>
      <c r="E50" s="242"/>
      <c r="F50" s="243"/>
    </row>
    <row r="51" spans="1:6" ht="12.75" x14ac:dyDescent="0.2">
      <c r="A51" s="24"/>
      <c r="B51" s="239"/>
      <c r="C51" s="240"/>
      <c r="D51" s="240"/>
      <c r="E51" s="240"/>
      <c r="F51" s="178"/>
    </row>
    <row r="52" spans="1:6" ht="12.75" x14ac:dyDescent="0.2"/>
  </sheetData>
  <sheetProtection algorithmName="SHA-512" hashValue="5B8Ks8ltEniNeCsMB0PADltNxZbNo7Arq8qekhQZ99CU8CwGVQjg6LcMfZoEM/59tTsx68YVpd94TMdkXqjUEw==" saltValue="laH6ozuygxfd4y8UC954Bg==" spinCount="100000" sheet="1" objects="1" scenarios="1"/>
  <mergeCells count="2">
    <mergeCell ref="A1:F1"/>
    <mergeCell ref="B4:F4"/>
  </mergeCells>
  <pageMargins left="0.75" right="0.75" top="1" bottom="1" header="0.5" footer="0.5"/>
  <pageSetup scale="75" fitToWidth="0" fitToHeight="0" orientation="portrait" r:id="rId1"/>
  <headerFooter alignWithMargins="0">
    <oddHeader>&amp;LCommon Data Set 2021-2022</oddHeader>
    <oddFooter>&amp;C&amp;A&amp;RPage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189"/>
  <sheetViews>
    <sheetView showGridLines="0" showRowColHeaders="0" showRuler="0" zoomScale="160" zoomScaleNormal="160" workbookViewId="0">
      <selection activeCell="A6" sqref="A6"/>
    </sheetView>
  </sheetViews>
  <sheetFormatPr defaultColWidth="0" defaultRowHeight="12.75" zeroHeight="1" x14ac:dyDescent="0.2"/>
  <cols>
    <col min="1" max="1" width="88.875" style="532" customWidth="1"/>
    <col min="2" max="2" width="0.875" style="522" customWidth="1"/>
    <col min="3" max="16384" width="0" style="522" hidden="1"/>
  </cols>
  <sheetData>
    <row r="1" spans="1:1" ht="18.75" x14ac:dyDescent="0.2">
      <c r="A1" s="521" t="s">
        <v>1762</v>
      </c>
    </row>
    <row r="2" spans="1:1" x14ac:dyDescent="0.2">
      <c r="A2" s="523" t="s">
        <v>1763</v>
      </c>
    </row>
    <row r="3" spans="1:1" x14ac:dyDescent="0.2">
      <c r="A3" s="523"/>
    </row>
    <row r="4" spans="1:1" ht="24" x14ac:dyDescent="0.2">
      <c r="A4" s="523" t="s">
        <v>1764</v>
      </c>
    </row>
    <row r="5" spans="1:1" x14ac:dyDescent="0.2">
      <c r="A5" s="523"/>
    </row>
    <row r="6" spans="1:1" ht="24" x14ac:dyDescent="0.2">
      <c r="A6" s="533" t="s">
        <v>1913</v>
      </c>
    </row>
    <row r="7" spans="1:1" x14ac:dyDescent="0.2">
      <c r="A7" s="523"/>
    </row>
    <row r="8" spans="1:1" ht="24" x14ac:dyDescent="0.2">
      <c r="A8" s="524" t="s">
        <v>1765</v>
      </c>
    </row>
    <row r="9" spans="1:1" ht="24" x14ac:dyDescent="0.2">
      <c r="A9" s="524" t="s">
        <v>1766</v>
      </c>
    </row>
    <row r="10" spans="1:1" x14ac:dyDescent="0.2">
      <c r="A10" s="524" t="s">
        <v>1767</v>
      </c>
    </row>
    <row r="11" spans="1:1" x14ac:dyDescent="0.2">
      <c r="A11" s="524"/>
    </row>
    <row r="12" spans="1:1" ht="24" x14ac:dyDescent="0.2">
      <c r="A12" s="524" t="s">
        <v>1768</v>
      </c>
    </row>
    <row r="13" spans="1:1" ht="24" x14ac:dyDescent="0.2">
      <c r="A13" s="524" t="s">
        <v>1769</v>
      </c>
    </row>
    <row r="14" spans="1:1" ht="36" x14ac:dyDescent="0.2">
      <c r="A14" s="524" t="s">
        <v>1770</v>
      </c>
    </row>
    <row r="15" spans="1:1" ht="36" x14ac:dyDescent="0.2">
      <c r="A15" s="524" t="s">
        <v>1771</v>
      </c>
    </row>
    <row r="16" spans="1:1" ht="36" x14ac:dyDescent="0.2">
      <c r="A16" s="524" t="s">
        <v>1772</v>
      </c>
    </row>
    <row r="17" spans="1:1" x14ac:dyDescent="0.2">
      <c r="A17" s="524" t="s">
        <v>1773</v>
      </c>
    </row>
    <row r="18" spans="1:1" ht="72" x14ac:dyDescent="0.2">
      <c r="A18" s="524" t="s">
        <v>1774</v>
      </c>
    </row>
    <row r="19" spans="1:1" x14ac:dyDescent="0.2">
      <c r="A19" s="524" t="s">
        <v>1775</v>
      </c>
    </row>
    <row r="20" spans="1:1" x14ac:dyDescent="0.2">
      <c r="A20" s="524" t="s">
        <v>1776</v>
      </c>
    </row>
    <row r="21" spans="1:1" ht="24" x14ac:dyDescent="0.2">
      <c r="A21" s="524" t="s">
        <v>1777</v>
      </c>
    </row>
    <row r="22" spans="1:1" x14ac:dyDescent="0.2">
      <c r="A22" s="524" t="s">
        <v>1778</v>
      </c>
    </row>
    <row r="23" spans="1:1" ht="24" x14ac:dyDescent="0.2">
      <c r="A23" s="525" t="s">
        <v>1779</v>
      </c>
    </row>
    <row r="24" spans="1:1" x14ac:dyDescent="0.2">
      <c r="A24" s="526"/>
    </row>
    <row r="25" spans="1:1" ht="48" x14ac:dyDescent="0.2">
      <c r="A25" s="524" t="s">
        <v>1780</v>
      </c>
    </row>
    <row r="26" spans="1:1" x14ac:dyDescent="0.2">
      <c r="A26" s="524" t="s">
        <v>1781</v>
      </c>
    </row>
    <row r="27" spans="1:1" x14ac:dyDescent="0.2">
      <c r="A27" s="524" t="s">
        <v>1782</v>
      </c>
    </row>
    <row r="28" spans="1:1" ht="24" x14ac:dyDescent="0.2">
      <c r="A28" s="524" t="s">
        <v>1783</v>
      </c>
    </row>
    <row r="29" spans="1:1" ht="24" x14ac:dyDescent="0.2">
      <c r="A29" s="524" t="s">
        <v>1784</v>
      </c>
    </row>
    <row r="30" spans="1:1" ht="24" x14ac:dyDescent="0.2">
      <c r="A30" s="524" t="s">
        <v>1785</v>
      </c>
    </row>
    <row r="31" spans="1:1" ht="24" x14ac:dyDescent="0.2">
      <c r="A31" s="524" t="s">
        <v>1786</v>
      </c>
    </row>
    <row r="32" spans="1:1" ht="24" x14ac:dyDescent="0.2">
      <c r="A32" s="524" t="s">
        <v>1787</v>
      </c>
    </row>
    <row r="33" spans="1:1" ht="36" x14ac:dyDescent="0.2">
      <c r="A33" s="524" t="s">
        <v>1912</v>
      </c>
    </row>
    <row r="34" spans="1:1" ht="24" x14ac:dyDescent="0.2">
      <c r="A34" s="524" t="s">
        <v>1788</v>
      </c>
    </row>
    <row r="35" spans="1:1" ht="36" x14ac:dyDescent="0.2">
      <c r="A35" s="524" t="s">
        <v>1789</v>
      </c>
    </row>
    <row r="36" spans="1:1" ht="24" x14ac:dyDescent="0.2">
      <c r="A36" s="524" t="s">
        <v>1790</v>
      </c>
    </row>
    <row r="37" spans="1:1" ht="24" x14ac:dyDescent="0.2">
      <c r="A37" s="524" t="s">
        <v>1791</v>
      </c>
    </row>
    <row r="38" spans="1:1" ht="24" x14ac:dyDescent="0.2">
      <c r="A38" s="524" t="s">
        <v>1792</v>
      </c>
    </row>
    <row r="39" spans="1:1" ht="24" x14ac:dyDescent="0.2">
      <c r="A39" s="524" t="s">
        <v>1793</v>
      </c>
    </row>
    <row r="40" spans="1:1" ht="24" x14ac:dyDescent="0.2">
      <c r="A40" s="524" t="s">
        <v>1794</v>
      </c>
    </row>
    <row r="41" spans="1:1" ht="36" x14ac:dyDescent="0.2">
      <c r="A41" s="524" t="s">
        <v>1795</v>
      </c>
    </row>
    <row r="42" spans="1:1" ht="24" x14ac:dyDescent="0.2">
      <c r="A42" s="524" t="s">
        <v>1796</v>
      </c>
    </row>
    <row r="43" spans="1:1" ht="24" x14ac:dyDescent="0.2">
      <c r="A43" s="524" t="s">
        <v>1797</v>
      </c>
    </row>
    <row r="44" spans="1:1" ht="24" x14ac:dyDescent="0.2">
      <c r="A44" s="524" t="s">
        <v>1798</v>
      </c>
    </row>
    <row r="45" spans="1:1" ht="36" x14ac:dyDescent="0.2">
      <c r="A45" s="524" t="s">
        <v>1799</v>
      </c>
    </row>
    <row r="46" spans="1:1" ht="48" x14ac:dyDescent="0.2">
      <c r="A46" s="524" t="s">
        <v>1800</v>
      </c>
    </row>
    <row r="47" spans="1:1" x14ac:dyDescent="0.2">
      <c r="A47" s="524" t="s">
        <v>1801</v>
      </c>
    </row>
    <row r="48" spans="1:1" ht="24" x14ac:dyDescent="0.2">
      <c r="A48" s="524" t="s">
        <v>1802</v>
      </c>
    </row>
    <row r="49" spans="1:1" ht="48" x14ac:dyDescent="0.2">
      <c r="A49" s="525" t="s">
        <v>1803</v>
      </c>
    </row>
    <row r="50" spans="1:1" ht="84" x14ac:dyDescent="0.2">
      <c r="A50" s="525" t="s">
        <v>1804</v>
      </c>
    </row>
    <row r="51" spans="1:1" ht="24" x14ac:dyDescent="0.2">
      <c r="A51" s="525" t="s">
        <v>1805</v>
      </c>
    </row>
    <row r="52" spans="1:1" x14ac:dyDescent="0.2">
      <c r="A52" s="524" t="s">
        <v>1806</v>
      </c>
    </row>
    <row r="53" spans="1:1" ht="24" x14ac:dyDescent="0.2">
      <c r="A53" s="524" t="s">
        <v>1807</v>
      </c>
    </row>
    <row r="54" spans="1:1" ht="36" x14ac:dyDescent="0.2">
      <c r="A54" s="524" t="s">
        <v>1808</v>
      </c>
    </row>
    <row r="55" spans="1:1" ht="24" x14ac:dyDescent="0.2">
      <c r="A55" s="524" t="s">
        <v>1809</v>
      </c>
    </row>
    <row r="56" spans="1:1" ht="60" x14ac:dyDescent="0.2">
      <c r="A56" s="524" t="s">
        <v>1810</v>
      </c>
    </row>
    <row r="57" spans="1:1" x14ac:dyDescent="0.2">
      <c r="A57" s="524" t="s">
        <v>1811</v>
      </c>
    </row>
    <row r="58" spans="1:1" ht="24" x14ac:dyDescent="0.2">
      <c r="A58" s="524" t="s">
        <v>1812</v>
      </c>
    </row>
    <row r="59" spans="1:1" ht="36" x14ac:dyDescent="0.2">
      <c r="A59" s="524" t="s">
        <v>1813</v>
      </c>
    </row>
    <row r="60" spans="1:1" ht="36" x14ac:dyDescent="0.2">
      <c r="A60" s="524" t="s">
        <v>1814</v>
      </c>
    </row>
    <row r="61" spans="1:1" ht="36" x14ac:dyDescent="0.2">
      <c r="A61" s="524" t="s">
        <v>1815</v>
      </c>
    </row>
    <row r="62" spans="1:1" ht="36" x14ac:dyDescent="0.2">
      <c r="A62" s="524" t="s">
        <v>1816</v>
      </c>
    </row>
    <row r="63" spans="1:1" ht="24" x14ac:dyDescent="0.2">
      <c r="A63" s="524" t="s">
        <v>1817</v>
      </c>
    </row>
    <row r="64" spans="1:1" x14ac:dyDescent="0.2">
      <c r="A64" s="524" t="s">
        <v>1818</v>
      </c>
    </row>
    <row r="65" spans="1:1" ht="24" x14ac:dyDescent="0.2">
      <c r="A65" s="524" t="s">
        <v>1819</v>
      </c>
    </row>
    <row r="66" spans="1:1" ht="24" x14ac:dyDescent="0.2">
      <c r="A66" s="524" t="s">
        <v>1820</v>
      </c>
    </row>
    <row r="67" spans="1:1" ht="24" x14ac:dyDescent="0.2">
      <c r="A67" s="524" t="s">
        <v>1821</v>
      </c>
    </row>
    <row r="68" spans="1:1" ht="48" x14ac:dyDescent="0.2">
      <c r="A68" s="524" t="s">
        <v>1822</v>
      </c>
    </row>
    <row r="69" spans="1:1" x14ac:dyDescent="0.2">
      <c r="A69" s="524" t="s">
        <v>1823</v>
      </c>
    </row>
    <row r="70" spans="1:1" x14ac:dyDescent="0.2">
      <c r="A70" s="524" t="s">
        <v>1824</v>
      </c>
    </row>
    <row r="71" spans="1:1" ht="36" x14ac:dyDescent="0.2">
      <c r="A71" s="524" t="s">
        <v>1825</v>
      </c>
    </row>
    <row r="72" spans="1:1" ht="24" x14ac:dyDescent="0.2">
      <c r="A72" s="524" t="s">
        <v>1826</v>
      </c>
    </row>
    <row r="73" spans="1:1" ht="24" x14ac:dyDescent="0.2">
      <c r="A73" s="524" t="s">
        <v>1827</v>
      </c>
    </row>
    <row r="74" spans="1:1" ht="24" x14ac:dyDescent="0.2">
      <c r="A74" s="524" t="s">
        <v>1828</v>
      </c>
    </row>
    <row r="75" spans="1:1" ht="24" x14ac:dyDescent="0.2">
      <c r="A75" s="524" t="s">
        <v>1829</v>
      </c>
    </row>
    <row r="76" spans="1:1" x14ac:dyDescent="0.2">
      <c r="A76" s="524" t="s">
        <v>1830</v>
      </c>
    </row>
    <row r="77" spans="1:1" ht="24" x14ac:dyDescent="0.2">
      <c r="A77" s="524" t="s">
        <v>1831</v>
      </c>
    </row>
    <row r="78" spans="1:1" ht="24" x14ac:dyDescent="0.2">
      <c r="A78" s="524" t="s">
        <v>1832</v>
      </c>
    </row>
    <row r="79" spans="1:1" ht="24" x14ac:dyDescent="0.2">
      <c r="A79" s="524" t="s">
        <v>1833</v>
      </c>
    </row>
    <row r="80" spans="1:1" x14ac:dyDescent="0.2">
      <c r="A80" s="524"/>
    </row>
    <row r="81" spans="1:1" x14ac:dyDescent="0.2">
      <c r="A81" s="524" t="s">
        <v>1834</v>
      </c>
    </row>
    <row r="82" spans="1:1" ht="24" x14ac:dyDescent="0.2">
      <c r="A82" s="524" t="s">
        <v>1835</v>
      </c>
    </row>
    <row r="83" spans="1:1" ht="30" customHeight="1" x14ac:dyDescent="0.2">
      <c r="A83" s="524" t="s">
        <v>1914</v>
      </c>
    </row>
    <row r="84" spans="1:1" ht="48" x14ac:dyDescent="0.2">
      <c r="A84" s="525" t="s">
        <v>1836</v>
      </c>
    </row>
    <row r="85" spans="1:1" ht="24" x14ac:dyDescent="0.2">
      <c r="A85" s="524" t="s">
        <v>1837</v>
      </c>
    </row>
    <row r="86" spans="1:1" ht="24" x14ac:dyDescent="0.2">
      <c r="A86" s="524" t="s">
        <v>1838</v>
      </c>
    </row>
    <row r="87" spans="1:1" x14ac:dyDescent="0.2">
      <c r="A87" s="523"/>
    </row>
    <row r="88" spans="1:1" ht="36" x14ac:dyDescent="0.2">
      <c r="A88" s="525" t="s">
        <v>1839</v>
      </c>
    </row>
    <row r="89" spans="1:1" x14ac:dyDescent="0.2">
      <c r="A89" s="526"/>
    </row>
    <row r="90" spans="1:1" ht="24" x14ac:dyDescent="0.2">
      <c r="A90" s="524" t="s">
        <v>1840</v>
      </c>
    </row>
    <row r="91" spans="1:1" ht="24" x14ac:dyDescent="0.2">
      <c r="A91" s="524" t="s">
        <v>1841</v>
      </c>
    </row>
    <row r="92" spans="1:1" x14ac:dyDescent="0.2">
      <c r="A92" s="524" t="s">
        <v>1842</v>
      </c>
    </row>
    <row r="93" spans="1:1" ht="24" x14ac:dyDescent="0.2">
      <c r="A93" s="524" t="s">
        <v>1843</v>
      </c>
    </row>
    <row r="94" spans="1:1" ht="24" x14ac:dyDescent="0.2">
      <c r="A94" s="524" t="s">
        <v>1844</v>
      </c>
    </row>
    <row r="95" spans="1:1" ht="24" x14ac:dyDescent="0.2">
      <c r="A95" s="524" t="s">
        <v>1845</v>
      </c>
    </row>
    <row r="96" spans="1:1" ht="24" x14ac:dyDescent="0.2">
      <c r="A96" s="524" t="s">
        <v>1846</v>
      </c>
    </row>
    <row r="97" spans="1:1" ht="56.1" customHeight="1" x14ac:dyDescent="0.2">
      <c r="A97" s="524" t="s">
        <v>1915</v>
      </c>
    </row>
    <row r="98" spans="1:1" ht="24" x14ac:dyDescent="0.2">
      <c r="A98" s="524" t="s">
        <v>1847</v>
      </c>
    </row>
    <row r="99" spans="1:1" ht="36" x14ac:dyDescent="0.2">
      <c r="A99" s="524" t="s">
        <v>1848</v>
      </c>
    </row>
    <row r="100" spans="1:1" ht="24" x14ac:dyDescent="0.2">
      <c r="A100" s="524" t="s">
        <v>1849</v>
      </c>
    </row>
    <row r="101" spans="1:1" ht="24" x14ac:dyDescent="0.2">
      <c r="A101" s="524" t="s">
        <v>1850</v>
      </c>
    </row>
    <row r="102" spans="1:1" x14ac:dyDescent="0.2">
      <c r="A102" s="523"/>
    </row>
    <row r="103" spans="1:1" ht="36" x14ac:dyDescent="0.2">
      <c r="A103" s="527" t="s">
        <v>1851</v>
      </c>
    </row>
    <row r="104" spans="1:1" x14ac:dyDescent="0.2">
      <c r="A104" s="523"/>
    </row>
    <row r="105" spans="1:1" ht="36" x14ac:dyDescent="0.2">
      <c r="A105" s="527" t="s">
        <v>1852</v>
      </c>
    </row>
    <row r="106" spans="1:1" x14ac:dyDescent="0.2">
      <c r="A106" s="528"/>
    </row>
    <row r="107" spans="1:1" ht="36" x14ac:dyDescent="0.2">
      <c r="A107" s="527" t="s">
        <v>1853</v>
      </c>
    </row>
    <row r="108" spans="1:1" x14ac:dyDescent="0.2">
      <c r="A108" s="524"/>
    </row>
    <row r="109" spans="1:1" ht="24" x14ac:dyDescent="0.2">
      <c r="A109" s="524" t="s">
        <v>1854</v>
      </c>
    </row>
    <row r="110" spans="1:1" ht="24" x14ac:dyDescent="0.2">
      <c r="A110" s="524" t="s">
        <v>1855</v>
      </c>
    </row>
    <row r="111" spans="1:1" ht="36" x14ac:dyDescent="0.2">
      <c r="A111" s="524" t="s">
        <v>1856</v>
      </c>
    </row>
    <row r="112" spans="1:1" x14ac:dyDescent="0.2">
      <c r="A112" s="524" t="s">
        <v>1857</v>
      </c>
    </row>
    <row r="113" spans="1:1" ht="24" x14ac:dyDescent="0.2">
      <c r="A113" s="524" t="s">
        <v>1858</v>
      </c>
    </row>
    <row r="114" spans="1:1" ht="24" x14ac:dyDescent="0.2">
      <c r="A114" s="524" t="s">
        <v>1859</v>
      </c>
    </row>
    <row r="115" spans="1:1" ht="36" x14ac:dyDescent="0.2">
      <c r="A115" s="524" t="s">
        <v>1860</v>
      </c>
    </row>
    <row r="116" spans="1:1" ht="24" x14ac:dyDescent="0.2">
      <c r="A116" s="524" t="s">
        <v>1861</v>
      </c>
    </row>
    <row r="117" spans="1:1" ht="60" x14ac:dyDescent="0.2">
      <c r="A117" s="524" t="s">
        <v>1862</v>
      </c>
    </row>
    <row r="118" spans="1:1" ht="24" x14ac:dyDescent="0.2">
      <c r="A118" s="524" t="s">
        <v>1863</v>
      </c>
    </row>
    <row r="119" spans="1:1" ht="24" x14ac:dyDescent="0.2">
      <c r="A119" s="524" t="s">
        <v>1864</v>
      </c>
    </row>
    <row r="120" spans="1:1" ht="24" x14ac:dyDescent="0.2">
      <c r="A120" s="524" t="s">
        <v>1865</v>
      </c>
    </row>
    <row r="121" spans="1:1" ht="36" x14ac:dyDescent="0.2">
      <c r="A121" s="524" t="s">
        <v>1866</v>
      </c>
    </row>
    <row r="122" spans="1:1" ht="60" x14ac:dyDescent="0.2">
      <c r="A122" s="524" t="s">
        <v>1867</v>
      </c>
    </row>
    <row r="123" spans="1:1" ht="24" x14ac:dyDescent="0.2">
      <c r="A123" s="524" t="s">
        <v>1868</v>
      </c>
    </row>
    <row r="124" spans="1:1" ht="24" x14ac:dyDescent="0.2">
      <c r="A124" s="524" t="s">
        <v>1869</v>
      </c>
    </row>
    <row r="125" spans="1:1" ht="24" x14ac:dyDescent="0.2">
      <c r="A125" s="524" t="s">
        <v>1870</v>
      </c>
    </row>
    <row r="126" spans="1:1" x14ac:dyDescent="0.2">
      <c r="A126" s="524" t="s">
        <v>1871</v>
      </c>
    </row>
    <row r="127" spans="1:1" ht="24" x14ac:dyDescent="0.2">
      <c r="A127" s="524" t="s">
        <v>1872</v>
      </c>
    </row>
    <row r="128" spans="1:1" ht="48" x14ac:dyDescent="0.2">
      <c r="A128" s="524" t="s">
        <v>1873</v>
      </c>
    </row>
    <row r="129" spans="1:1" ht="24" x14ac:dyDescent="0.2">
      <c r="A129" s="524" t="s">
        <v>1874</v>
      </c>
    </row>
    <row r="130" spans="1:1" ht="24" x14ac:dyDescent="0.2">
      <c r="A130" s="524" t="s">
        <v>1875</v>
      </c>
    </row>
    <row r="131" spans="1:1" ht="36" x14ac:dyDescent="0.2">
      <c r="A131" s="524" t="s">
        <v>1876</v>
      </c>
    </row>
    <row r="132" spans="1:1" x14ac:dyDescent="0.2">
      <c r="A132" s="524"/>
    </row>
    <row r="133" spans="1:1" ht="24" x14ac:dyDescent="0.2">
      <c r="A133" s="524" t="s">
        <v>1877</v>
      </c>
    </row>
    <row r="134" spans="1:1" ht="24" x14ac:dyDescent="0.2">
      <c r="A134" s="524" t="s">
        <v>1878</v>
      </c>
    </row>
    <row r="135" spans="1:1" x14ac:dyDescent="0.2">
      <c r="A135" s="524" t="s">
        <v>1879</v>
      </c>
    </row>
    <row r="136" spans="1:1" ht="24" x14ac:dyDescent="0.2">
      <c r="A136" s="524" t="s">
        <v>1880</v>
      </c>
    </row>
    <row r="137" spans="1:1" x14ac:dyDescent="0.2">
      <c r="A137" s="524"/>
    </row>
    <row r="138" spans="1:1" ht="24" x14ac:dyDescent="0.2">
      <c r="A138" s="524" t="s">
        <v>1881</v>
      </c>
    </row>
    <row r="139" spans="1:1" x14ac:dyDescent="0.2">
      <c r="A139" s="523"/>
    </row>
    <row r="140" spans="1:1" x14ac:dyDescent="0.2">
      <c r="A140" s="524" t="s">
        <v>1882</v>
      </c>
    </row>
    <row r="141" spans="1:1" ht="24" x14ac:dyDescent="0.2">
      <c r="A141" s="524" t="s">
        <v>1883</v>
      </c>
    </row>
    <row r="142" spans="1:1" ht="29.1" customHeight="1" x14ac:dyDescent="0.2">
      <c r="A142" s="524" t="s">
        <v>1916</v>
      </c>
    </row>
    <row r="143" spans="1:1" ht="36" x14ac:dyDescent="0.2">
      <c r="A143" s="524" t="s">
        <v>1884</v>
      </c>
    </row>
    <row r="144" spans="1:1" ht="24" x14ac:dyDescent="0.2">
      <c r="A144" s="524" t="s">
        <v>1885</v>
      </c>
    </row>
    <row r="145" spans="1:1" ht="24" x14ac:dyDescent="0.2">
      <c r="A145" s="524" t="s">
        <v>1886</v>
      </c>
    </row>
    <row r="146" spans="1:1" ht="24" x14ac:dyDescent="0.2">
      <c r="A146" s="524" t="s">
        <v>1887</v>
      </c>
    </row>
    <row r="147" spans="1:1" x14ac:dyDescent="0.2">
      <c r="A147" s="524" t="s">
        <v>1888</v>
      </c>
    </row>
    <row r="148" spans="1:1" x14ac:dyDescent="0.2">
      <c r="A148" s="524" t="s">
        <v>1889</v>
      </c>
    </row>
    <row r="149" spans="1:1" ht="24" x14ac:dyDescent="0.2">
      <c r="A149" s="524" t="s">
        <v>1890</v>
      </c>
    </row>
    <row r="150" spans="1:1" ht="36" x14ac:dyDescent="0.2">
      <c r="A150" s="524" t="s">
        <v>1891</v>
      </c>
    </row>
    <row r="151" spans="1:1" x14ac:dyDescent="0.2">
      <c r="A151" s="529"/>
    </row>
    <row r="152" spans="1:1" x14ac:dyDescent="0.2">
      <c r="A152" s="529"/>
    </row>
    <row r="153" spans="1:1" ht="15" x14ac:dyDescent="0.2">
      <c r="A153" s="530" t="s">
        <v>1761</v>
      </c>
    </row>
    <row r="154" spans="1:1" x14ac:dyDescent="0.2">
      <c r="A154" s="529"/>
    </row>
    <row r="155" spans="1:1" ht="36" x14ac:dyDescent="0.2">
      <c r="A155" s="524" t="s">
        <v>1892</v>
      </c>
    </row>
    <row r="156" spans="1:1" x14ac:dyDescent="0.2">
      <c r="A156" s="524"/>
    </row>
    <row r="157" spans="1:1" ht="24" x14ac:dyDescent="0.2">
      <c r="A157" s="524" t="s">
        <v>1893</v>
      </c>
    </row>
    <row r="158" spans="1:1" x14ac:dyDescent="0.2">
      <c r="A158" s="523"/>
    </row>
    <row r="159" spans="1:1" ht="36" x14ac:dyDescent="0.2">
      <c r="A159" s="524" t="s">
        <v>1894</v>
      </c>
    </row>
    <row r="160" spans="1:1" x14ac:dyDescent="0.2">
      <c r="A160" s="523"/>
    </row>
    <row r="161" spans="1:1" ht="24" x14ac:dyDescent="0.2">
      <c r="A161" s="524" t="s">
        <v>1895</v>
      </c>
    </row>
    <row r="162" spans="1:1" x14ac:dyDescent="0.2">
      <c r="A162" s="523"/>
    </row>
    <row r="163" spans="1:1" x14ac:dyDescent="0.2">
      <c r="A163" s="524" t="s">
        <v>1896</v>
      </c>
    </row>
    <row r="164" spans="1:1" x14ac:dyDescent="0.2">
      <c r="A164" s="523"/>
    </row>
    <row r="165" spans="1:1" ht="36" x14ac:dyDescent="0.2">
      <c r="A165" s="524" t="s">
        <v>1897</v>
      </c>
    </row>
    <row r="166" spans="1:1" x14ac:dyDescent="0.2">
      <c r="A166" s="523"/>
    </row>
    <row r="167" spans="1:1" ht="24" x14ac:dyDescent="0.2">
      <c r="A167" s="524" t="s">
        <v>1898</v>
      </c>
    </row>
    <row r="168" spans="1:1" x14ac:dyDescent="0.2">
      <c r="A168" s="523"/>
    </row>
    <row r="169" spans="1:1" ht="24" x14ac:dyDescent="0.2">
      <c r="A169" s="524" t="s">
        <v>1899</v>
      </c>
    </row>
    <row r="170" spans="1:1" x14ac:dyDescent="0.2">
      <c r="A170" s="523"/>
    </row>
    <row r="171" spans="1:1" ht="48" x14ac:dyDescent="0.2">
      <c r="A171" s="524" t="s">
        <v>1900</v>
      </c>
    </row>
    <row r="172" spans="1:1" x14ac:dyDescent="0.2">
      <c r="A172" s="523"/>
    </row>
    <row r="173" spans="1:1" x14ac:dyDescent="0.2">
      <c r="A173" s="524" t="s">
        <v>11</v>
      </c>
    </row>
    <row r="174" spans="1:1" x14ac:dyDescent="0.2">
      <c r="A174" s="524"/>
    </row>
    <row r="175" spans="1:1" x14ac:dyDescent="0.2">
      <c r="A175" s="531"/>
    </row>
    <row r="176" spans="1:1" x14ac:dyDescent="0.2">
      <c r="A176" s="523" t="s">
        <v>1901</v>
      </c>
    </row>
    <row r="177" spans="1:1" x14ac:dyDescent="0.2">
      <c r="A177" s="523" t="s">
        <v>1902</v>
      </c>
    </row>
    <row r="178" spans="1:1" x14ac:dyDescent="0.2">
      <c r="A178" s="523" t="s">
        <v>1903</v>
      </c>
    </row>
    <row r="179" spans="1:1" x14ac:dyDescent="0.2">
      <c r="A179" s="523" t="s">
        <v>1904</v>
      </c>
    </row>
    <row r="180" spans="1:1" x14ac:dyDescent="0.2">
      <c r="A180" s="523" t="s">
        <v>1905</v>
      </c>
    </row>
    <row r="181" spans="1:1" x14ac:dyDescent="0.2">
      <c r="A181" s="523" t="s">
        <v>1906</v>
      </c>
    </row>
    <row r="182" spans="1:1" x14ac:dyDescent="0.2">
      <c r="A182" s="523" t="s">
        <v>1907</v>
      </c>
    </row>
    <row r="183" spans="1:1" x14ac:dyDescent="0.2">
      <c r="A183" s="523" t="s">
        <v>1908</v>
      </c>
    </row>
    <row r="184" spans="1:1" x14ac:dyDescent="0.2">
      <c r="A184" s="523" t="s">
        <v>1909</v>
      </c>
    </row>
    <row r="185" spans="1:1" x14ac:dyDescent="0.2">
      <c r="A185" s="531"/>
    </row>
    <row r="186" spans="1:1" x14ac:dyDescent="0.2">
      <c r="A186" s="523"/>
    </row>
    <row r="187" spans="1:1" ht="24" x14ac:dyDescent="0.2">
      <c r="A187" s="524" t="s">
        <v>1910</v>
      </c>
    </row>
    <row r="188" spans="1:1" x14ac:dyDescent="0.2">
      <c r="A188" s="523"/>
    </row>
    <row r="189" spans="1:1" ht="24" x14ac:dyDescent="0.2">
      <c r="A189" s="524" t="s">
        <v>1911</v>
      </c>
    </row>
  </sheetData>
  <sheetProtection algorithmName="SHA-512" hashValue="Lq/ZfTntsbZ5ZvBeXBTWphQ5Qqdg6Zj6cPlIx4HvSjxf/p/xPuNacIN1lDIgmkESeXrVK0RvJp+cXqq0uV5/Aw==" saltValue="Qm9iWK0JmQUvwDxVaRsfGg==" spinCount="100000" sheet="1" objects="1" scenarios="1"/>
  <pageMargins left="0.75" right="0.75" top="1" bottom="1" header="0.5" footer="0.5"/>
  <pageSetup scale="75" orientation="portrait" r:id="rId1"/>
  <headerFooter alignWithMargins="0">
    <oddHeader>&amp;CCommon Data Set 2019-2020</oddHeader>
    <oddFooter>&amp;C&amp;A&amp;RPage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vt:i4>
      </vt:variant>
    </vt:vector>
  </HeadingPairs>
  <TitlesOfParts>
    <vt:vector size="13" baseType="lpstr">
      <vt:lpstr>answers</vt:lpstr>
      <vt:lpstr>CDS-A</vt:lpstr>
      <vt:lpstr>CDS-B</vt:lpstr>
      <vt:lpstr>CDS-C</vt:lpstr>
      <vt:lpstr>CDS-D</vt:lpstr>
      <vt:lpstr>CDS-E</vt:lpstr>
      <vt:lpstr>CDS-F</vt:lpstr>
      <vt:lpstr>CDS-G</vt:lpstr>
      <vt:lpstr>CDS-H</vt:lpstr>
      <vt:lpstr>CDS-I</vt:lpstr>
      <vt:lpstr>CDS-J</vt:lpstr>
      <vt:lpstr>CDS Definitions</vt:lpstr>
      <vt:lpstr>'CDS Definitions'!_Hlk22631867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Roth, Carrie</dc:creator>
  <cp:lastModifiedBy>Caryn L Reynolds</cp:lastModifiedBy>
  <cp:lastPrinted>2022-09-29T16:04:06Z</cp:lastPrinted>
  <dcterms:created xsi:type="dcterms:W3CDTF">2022-08-08T22:15:06Z</dcterms:created>
  <dcterms:modified xsi:type="dcterms:W3CDTF">2022-12-20T14:14:12Z</dcterms:modified>
</cp:coreProperties>
</file>